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oundation\Finance Committee\2018-2019\Next Meeting\"/>
    </mc:Choice>
  </mc:AlternateContent>
  <bookViews>
    <workbookView xWindow="0" yWindow="0" windowWidth="21600" windowHeight="9300"/>
  </bookViews>
  <sheets>
    <sheet name="2018-2019 Rev1" sheetId="1" r:id="rId1"/>
  </sheets>
  <definedNames>
    <definedName name="_Order1" hidden="1">255</definedName>
    <definedName name="_Order2" hidden="1">255</definedName>
    <definedName name="_xlnm.Print_Area" localSheetId="0">'2018-2019 Rev1'!$A$1:$AG$61</definedName>
    <definedName name="_xlnm.Print_Titles" localSheetId="0">'2018-2019 Rev1'!$A:$A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2" i="1" l="1"/>
  <c r="D156" i="1"/>
  <c r="D17" i="1" s="1"/>
  <c r="E151" i="1"/>
  <c r="E143" i="1"/>
  <c r="E136" i="1"/>
  <c r="E11" i="1" s="1"/>
  <c r="E130" i="1"/>
  <c r="E122" i="1"/>
  <c r="R110" i="1"/>
  <c r="R17" i="1" s="1"/>
  <c r="R107" i="1"/>
  <c r="D104" i="1"/>
  <c r="D21" i="1" s="1"/>
  <c r="F21" i="1" s="1"/>
  <c r="AE21" i="1" s="1"/>
  <c r="C104" i="1"/>
  <c r="D99" i="1"/>
  <c r="X94" i="1"/>
  <c r="M94" i="1"/>
  <c r="M7" i="1" s="1"/>
  <c r="Q93" i="1"/>
  <c r="Q29" i="1" s="1"/>
  <c r="D88" i="1"/>
  <c r="C88" i="1"/>
  <c r="C82" i="1"/>
  <c r="C22" i="1" s="1"/>
  <c r="F22" i="1" s="1"/>
  <c r="AE22" i="1" s="1"/>
  <c r="H75" i="1"/>
  <c r="H76" i="1" s="1"/>
  <c r="Z72" i="1"/>
  <c r="Z9" i="1" s="1"/>
  <c r="Q72" i="1"/>
  <c r="Q9" i="1" s="1"/>
  <c r="Q12" i="1" s="1"/>
  <c r="M72" i="1"/>
  <c r="L72" i="1"/>
  <c r="L9" i="1" s="1"/>
  <c r="H72" i="1"/>
  <c r="H9" i="1" s="1"/>
  <c r="G72" i="1"/>
  <c r="G9" i="1" s="1"/>
  <c r="AD9" i="1" s="1"/>
  <c r="AB71" i="1"/>
  <c r="AB72" i="1" s="1"/>
  <c r="AA71" i="1"/>
  <c r="AA72" i="1" s="1"/>
  <c r="AA9" i="1" s="1"/>
  <c r="AA12" i="1" s="1"/>
  <c r="Z71" i="1"/>
  <c r="Y71" i="1"/>
  <c r="X71" i="1"/>
  <c r="W71" i="1"/>
  <c r="V71" i="1"/>
  <c r="V72" i="1" s="1"/>
  <c r="U71" i="1"/>
  <c r="U72" i="1" s="1"/>
  <c r="U9" i="1" s="1"/>
  <c r="U12" i="1" s="1"/>
  <c r="T71" i="1"/>
  <c r="T72" i="1" s="1"/>
  <c r="S71" i="1"/>
  <c r="S72" i="1" s="1"/>
  <c r="R71" i="1"/>
  <c r="R72" i="1" s="1"/>
  <c r="R9" i="1" s="1"/>
  <c r="R12" i="1" s="1"/>
  <c r="Q71" i="1"/>
  <c r="P71" i="1"/>
  <c r="P72" i="1" s="1"/>
  <c r="P9" i="1" s="1"/>
  <c r="P12" i="1" s="1"/>
  <c r="O71" i="1"/>
  <c r="O72" i="1" s="1"/>
  <c r="N71" i="1"/>
  <c r="N72" i="1" s="1"/>
  <c r="M71" i="1"/>
  <c r="L71" i="1"/>
  <c r="K71" i="1"/>
  <c r="K72" i="1" s="1"/>
  <c r="J71" i="1"/>
  <c r="J72" i="1" s="1"/>
  <c r="I71" i="1"/>
  <c r="I72" i="1" s="1"/>
  <c r="H71" i="1"/>
  <c r="G71" i="1"/>
  <c r="G62" i="1" s="1"/>
  <c r="G63" i="1" s="1"/>
  <c r="E71" i="1"/>
  <c r="E72" i="1" s="1"/>
  <c r="AE70" i="1"/>
  <c r="AE69" i="1"/>
  <c r="O64" i="1"/>
  <c r="N63" i="1"/>
  <c r="N64" i="1" s="1"/>
  <c r="I63" i="1"/>
  <c r="Q62" i="1"/>
  <c r="O63" i="1" s="1"/>
  <c r="I62" i="1"/>
  <c r="H62" i="1"/>
  <c r="H63" i="1" s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AG54" i="1"/>
  <c r="AD53" i="1"/>
  <c r="F53" i="1"/>
  <c r="AE53" i="1" s="1"/>
  <c r="AE52" i="1"/>
  <c r="AD52" i="1"/>
  <c r="D52" i="1"/>
  <c r="C52" i="1"/>
  <c r="F52" i="1" s="1"/>
  <c r="AC51" i="1"/>
  <c r="AB51" i="1"/>
  <c r="AA51" i="1"/>
  <c r="Z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I51" i="1"/>
  <c r="H51" i="1"/>
  <c r="G51" i="1"/>
  <c r="AD51" i="1" s="1"/>
  <c r="C51" i="1" s="1"/>
  <c r="F51" i="1" s="1"/>
  <c r="E51" i="1"/>
  <c r="D51" i="1"/>
  <c r="AC50" i="1"/>
  <c r="X50" i="1"/>
  <c r="R50" i="1"/>
  <c r="N50" i="1"/>
  <c r="L50" i="1"/>
  <c r="G50" i="1"/>
  <c r="AE49" i="1"/>
  <c r="AD49" i="1"/>
  <c r="F49" i="1"/>
  <c r="AD48" i="1"/>
  <c r="F48" i="1"/>
  <c r="AE48" i="1" s="1"/>
  <c r="AD47" i="1"/>
  <c r="F47" i="1"/>
  <c r="AE46" i="1"/>
  <c r="F46" i="1"/>
  <c r="AC45" i="1"/>
  <c r="AB45" i="1"/>
  <c r="AB35" i="1" s="1"/>
  <c r="AA45" i="1"/>
  <c r="Z45" i="1"/>
  <c r="X45" i="1"/>
  <c r="W45" i="1"/>
  <c r="W32" i="1" s="1"/>
  <c r="V45" i="1"/>
  <c r="U45" i="1"/>
  <c r="T45" i="1"/>
  <c r="S45" i="1"/>
  <c r="S32" i="1" s="1"/>
  <c r="R45" i="1"/>
  <c r="Q45" i="1"/>
  <c r="P45" i="1"/>
  <c r="O45" i="1"/>
  <c r="N45" i="1"/>
  <c r="M45" i="1"/>
  <c r="L45" i="1"/>
  <c r="J45" i="1"/>
  <c r="J20" i="1" s="1"/>
  <c r="I45" i="1"/>
  <c r="H45" i="1"/>
  <c r="AD45" i="1" s="1"/>
  <c r="C45" i="1" s="1"/>
  <c r="F45" i="1" s="1"/>
  <c r="G45" i="1"/>
  <c r="E45" i="1"/>
  <c r="D45" i="1"/>
  <c r="AC44" i="1"/>
  <c r="AB44" i="1"/>
  <c r="AA44" i="1"/>
  <c r="AA35" i="1" s="1"/>
  <c r="Z44" i="1"/>
  <c r="X44" i="1"/>
  <c r="W44" i="1"/>
  <c r="V44" i="1"/>
  <c r="V35" i="1" s="1"/>
  <c r="U44" i="1"/>
  <c r="T44" i="1"/>
  <c r="S44" i="1"/>
  <c r="R44" i="1"/>
  <c r="R35" i="1" s="1"/>
  <c r="Q44" i="1"/>
  <c r="P44" i="1"/>
  <c r="O44" i="1"/>
  <c r="N44" i="1"/>
  <c r="N35" i="1" s="1"/>
  <c r="M44" i="1"/>
  <c r="L44" i="1"/>
  <c r="J44" i="1"/>
  <c r="I44" i="1"/>
  <c r="I50" i="1" s="1"/>
  <c r="H44" i="1"/>
  <c r="AD44" i="1" s="1"/>
  <c r="C44" i="1" s="1"/>
  <c r="F44" i="1" s="1"/>
  <c r="G44" i="1"/>
  <c r="E44" i="1"/>
  <c r="E50" i="1" s="1"/>
  <c r="D44" i="1"/>
  <c r="AC43" i="1"/>
  <c r="AB43" i="1"/>
  <c r="AB50" i="1" s="1"/>
  <c r="AA43" i="1"/>
  <c r="Z43" i="1"/>
  <c r="X43" i="1"/>
  <c r="W43" i="1"/>
  <c r="V43" i="1"/>
  <c r="U43" i="1"/>
  <c r="T43" i="1"/>
  <c r="S43" i="1"/>
  <c r="R43" i="1"/>
  <c r="Q43" i="1"/>
  <c r="Q50" i="1" s="1"/>
  <c r="P43" i="1"/>
  <c r="O43" i="1"/>
  <c r="O50" i="1" s="1"/>
  <c r="N43" i="1"/>
  <c r="M43" i="1"/>
  <c r="L43" i="1"/>
  <c r="J43" i="1"/>
  <c r="J50" i="1" s="1"/>
  <c r="I43" i="1"/>
  <c r="H43" i="1"/>
  <c r="G43" i="1"/>
  <c r="E43" i="1"/>
  <c r="D43" i="1"/>
  <c r="AD42" i="1"/>
  <c r="F42" i="1"/>
  <c r="AE42" i="1" s="1"/>
  <c r="E42" i="1"/>
  <c r="AD41" i="1"/>
  <c r="F41" i="1"/>
  <c r="AE41" i="1" s="1"/>
  <c r="AE40" i="1"/>
  <c r="AD40" i="1"/>
  <c r="F40" i="1"/>
  <c r="AE39" i="1"/>
  <c r="AD39" i="1"/>
  <c r="F39" i="1"/>
  <c r="AD38" i="1"/>
  <c r="F38" i="1"/>
  <c r="AD37" i="1"/>
  <c r="F37" i="1"/>
  <c r="AE37" i="1" s="1"/>
  <c r="AE36" i="1"/>
  <c r="AD36" i="1"/>
  <c r="F36" i="1"/>
  <c r="AC35" i="1"/>
  <c r="X35" i="1"/>
  <c r="W35" i="1"/>
  <c r="S35" i="1"/>
  <c r="Q35" i="1"/>
  <c r="P35" i="1"/>
  <c r="M35" i="1"/>
  <c r="L35" i="1"/>
  <c r="K35" i="1"/>
  <c r="I35" i="1"/>
  <c r="H35" i="1"/>
  <c r="G35" i="1"/>
  <c r="E35" i="1"/>
  <c r="AD34" i="1"/>
  <c r="F34" i="1"/>
  <c r="AD33" i="1"/>
  <c r="F33" i="1"/>
  <c r="AE33" i="1" s="1"/>
  <c r="E33" i="1"/>
  <c r="AB32" i="1"/>
  <c r="AA32" i="1"/>
  <c r="V32" i="1"/>
  <c r="U32" i="1"/>
  <c r="R32" i="1"/>
  <c r="Q32" i="1"/>
  <c r="N32" i="1"/>
  <c r="K32" i="1"/>
  <c r="J32" i="1"/>
  <c r="I32" i="1"/>
  <c r="G32" i="1"/>
  <c r="E32" i="1"/>
  <c r="AD31" i="1"/>
  <c r="AE31" i="1" s="1"/>
  <c r="F31" i="1"/>
  <c r="AD30" i="1"/>
  <c r="F30" i="1"/>
  <c r="AE30" i="1" s="1"/>
  <c r="X29" i="1"/>
  <c r="M29" i="1"/>
  <c r="F29" i="1"/>
  <c r="AD28" i="1"/>
  <c r="F28" i="1"/>
  <c r="AE28" i="1" s="1"/>
  <c r="AE27" i="1"/>
  <c r="AD27" i="1"/>
  <c r="F27" i="1"/>
  <c r="AD26" i="1"/>
  <c r="F26" i="1"/>
  <c r="AE26" i="1" s="1"/>
  <c r="AC25" i="1"/>
  <c r="AB25" i="1"/>
  <c r="AA25" i="1"/>
  <c r="Z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J25" i="1"/>
  <c r="I25" i="1"/>
  <c r="H25" i="1"/>
  <c r="G25" i="1"/>
  <c r="E25" i="1"/>
  <c r="D25" i="1"/>
  <c r="AD24" i="1"/>
  <c r="AE24" i="1" s="1"/>
  <c r="F24" i="1"/>
  <c r="AD23" i="1"/>
  <c r="AE23" i="1" s="1"/>
  <c r="AD22" i="1"/>
  <c r="AD21" i="1"/>
  <c r="AB20" i="1"/>
  <c r="AB54" i="1" s="1"/>
  <c r="AA20" i="1"/>
  <c r="Z20" i="1"/>
  <c r="W20" i="1"/>
  <c r="V20" i="1"/>
  <c r="R20" i="1"/>
  <c r="Q20" i="1"/>
  <c r="N20" i="1"/>
  <c r="N54" i="1" s="1"/>
  <c r="M20" i="1"/>
  <c r="K20" i="1"/>
  <c r="I20" i="1"/>
  <c r="G20" i="1"/>
  <c r="G54" i="1" s="1"/>
  <c r="E20" i="1"/>
  <c r="AE19" i="1"/>
  <c r="AD19" i="1"/>
  <c r="F19" i="1"/>
  <c r="AD18" i="1"/>
  <c r="AE18" i="1" s="1"/>
  <c r="F18" i="1"/>
  <c r="W17" i="1"/>
  <c r="S17" i="1"/>
  <c r="AD17" i="1" s="1"/>
  <c r="F17" i="1"/>
  <c r="AE17" i="1" s="1"/>
  <c r="AD16" i="1"/>
  <c r="F16" i="1"/>
  <c r="AG13" i="1"/>
  <c r="W13" i="1"/>
  <c r="AG12" i="1"/>
  <c r="AG56" i="1" s="1"/>
  <c r="X12" i="1"/>
  <c r="W12" i="1"/>
  <c r="V12" i="1"/>
  <c r="T12" i="1"/>
  <c r="L12" i="1"/>
  <c r="C12" i="1"/>
  <c r="AE11" i="1"/>
  <c r="AD11" i="1"/>
  <c r="F11" i="1"/>
  <c r="AD10" i="1"/>
  <c r="AE10" i="1" s="1"/>
  <c r="F10" i="1"/>
  <c r="AB9" i="1"/>
  <c r="AB12" i="1" s="1"/>
  <c r="AB56" i="1" s="1"/>
  <c r="AB59" i="1" s="1"/>
  <c r="Y9" i="1"/>
  <c r="Y12" i="1" s="1"/>
  <c r="Y56" i="1" s="1"/>
  <c r="V9" i="1"/>
  <c r="S9" i="1"/>
  <c r="O9" i="1"/>
  <c r="O12" i="1" s="1"/>
  <c r="N9" i="1"/>
  <c r="N12" i="1" s="1"/>
  <c r="M9" i="1"/>
  <c r="K9" i="1"/>
  <c r="K12" i="1" s="1"/>
  <c r="J9" i="1"/>
  <c r="J12" i="1" s="1"/>
  <c r="I9" i="1"/>
  <c r="I12" i="1" s="1"/>
  <c r="F9" i="1"/>
  <c r="AE9" i="1" s="1"/>
  <c r="AC8" i="1"/>
  <c r="AC12" i="1" s="1"/>
  <c r="Z8" i="1"/>
  <c r="Z12" i="1" s="1"/>
  <c r="I8" i="1"/>
  <c r="H8" i="1"/>
  <c r="H12" i="1" s="1"/>
  <c r="G8" i="1"/>
  <c r="F7" i="1"/>
  <c r="AD6" i="1"/>
  <c r="S6" i="1"/>
  <c r="D6" i="1"/>
  <c r="M12" i="1" l="1"/>
  <c r="M8" i="1"/>
  <c r="AD7" i="1"/>
  <c r="AE7" i="1" s="1"/>
  <c r="N56" i="1"/>
  <c r="N57" i="1"/>
  <c r="J54" i="1"/>
  <c r="R13" i="1"/>
  <c r="AC29" i="1"/>
  <c r="AD29" i="1" s="1"/>
  <c r="AE29" i="1" s="1"/>
  <c r="K56" i="1"/>
  <c r="K59" i="1" s="1"/>
  <c r="D50" i="1"/>
  <c r="D32" i="1"/>
  <c r="D20" i="1"/>
  <c r="D54" i="1" s="1"/>
  <c r="D35" i="1"/>
  <c r="E131" i="1"/>
  <c r="E132" i="1"/>
  <c r="E6" i="1" s="1"/>
  <c r="J56" i="1"/>
  <c r="J57" i="1" s="1"/>
  <c r="I54" i="1"/>
  <c r="I56" i="1" s="1"/>
  <c r="I59" i="1" s="1"/>
  <c r="Q54" i="1"/>
  <c r="Q56" i="1" s="1"/>
  <c r="Y59" i="1"/>
  <c r="K54" i="1"/>
  <c r="R54" i="1"/>
  <c r="R56" i="1" s="1"/>
  <c r="O35" i="1"/>
  <c r="O20" i="1"/>
  <c r="S50" i="1"/>
  <c r="Y57" i="1"/>
  <c r="Q64" i="1"/>
  <c r="AE72" i="1"/>
  <c r="S12" i="1"/>
  <c r="G12" i="1"/>
  <c r="G56" i="1" s="1"/>
  <c r="G59" i="1" s="1"/>
  <c r="AD8" i="1"/>
  <c r="D8" i="1" s="1"/>
  <c r="F8" i="1" s="1"/>
  <c r="AE8" i="1" s="1"/>
  <c r="AE16" i="1"/>
  <c r="S20" i="1"/>
  <c r="S54" i="1" s="1"/>
  <c r="O32" i="1"/>
  <c r="AE38" i="1"/>
  <c r="H50" i="1"/>
  <c r="AD50" i="1" s="1"/>
  <c r="C50" i="1" s="1"/>
  <c r="F50" i="1" s="1"/>
  <c r="H32" i="1"/>
  <c r="H20" i="1"/>
  <c r="H54" i="1" s="1"/>
  <c r="H56" i="1" s="1"/>
  <c r="H59" i="1" s="1"/>
  <c r="M50" i="1"/>
  <c r="M32" i="1"/>
  <c r="M54" i="1" s="1"/>
  <c r="U50" i="1"/>
  <c r="U20" i="1"/>
  <c r="U54" i="1" s="1"/>
  <c r="U56" i="1" s="1"/>
  <c r="U59" i="1" s="1"/>
  <c r="U35" i="1"/>
  <c r="Z50" i="1"/>
  <c r="Z35" i="1"/>
  <c r="Z32" i="1"/>
  <c r="Z54" i="1" s="1"/>
  <c r="Z56" i="1" s="1"/>
  <c r="Z59" i="1" s="1"/>
  <c r="AD43" i="1"/>
  <c r="C43" i="1" s="1"/>
  <c r="W50" i="1"/>
  <c r="W54" i="1" s="1"/>
  <c r="AE34" i="1"/>
  <c r="L32" i="1"/>
  <c r="AD32" i="1" s="1"/>
  <c r="L20" i="1"/>
  <c r="P32" i="1"/>
  <c r="P20" i="1"/>
  <c r="T32" i="1"/>
  <c r="T20" i="1"/>
  <c r="X32" i="1"/>
  <c r="X20" i="1"/>
  <c r="AC32" i="1"/>
  <c r="AC20" i="1"/>
  <c r="P50" i="1"/>
  <c r="V50" i="1"/>
  <c r="V54" i="1" s="1"/>
  <c r="AE58" i="1"/>
  <c r="AE71" i="1"/>
  <c r="G75" i="1"/>
  <c r="G76" i="1" s="1"/>
  <c r="I75" i="1"/>
  <c r="I76" i="1" s="1"/>
  <c r="E54" i="1"/>
  <c r="AD25" i="1"/>
  <c r="C25" i="1" s="1"/>
  <c r="F25" i="1" s="1"/>
  <c r="T35" i="1"/>
  <c r="J35" i="1"/>
  <c r="AD35" i="1" s="1"/>
  <c r="AE47" i="1"/>
  <c r="T50" i="1"/>
  <c r="AA50" i="1"/>
  <c r="AA54" i="1" s="1"/>
  <c r="AA56" i="1" s="1"/>
  <c r="AA59" i="1" s="1"/>
  <c r="P63" i="1"/>
  <c r="P64" i="1" s="1"/>
  <c r="Q57" i="1" l="1"/>
  <c r="Q59" i="1"/>
  <c r="V57" i="1"/>
  <c r="V56" i="1"/>
  <c r="V59" i="1" s="1"/>
  <c r="W57" i="1"/>
  <c r="W56" i="1"/>
  <c r="W59" i="1" s="1"/>
  <c r="R57" i="1"/>
  <c r="R59" i="1" s="1"/>
  <c r="S56" i="1"/>
  <c r="S13" i="1"/>
  <c r="AD13" i="1" s="1"/>
  <c r="AD20" i="1"/>
  <c r="E12" i="1"/>
  <c r="E56" i="1" s="1"/>
  <c r="E57" i="1" s="1"/>
  <c r="E13" i="1"/>
  <c r="M56" i="1"/>
  <c r="M59" i="1" s="1"/>
  <c r="AC54" i="1"/>
  <c r="T54" i="1"/>
  <c r="L54" i="1"/>
  <c r="L56" i="1" s="1"/>
  <c r="L57" i="1" s="1"/>
  <c r="F43" i="1"/>
  <c r="C32" i="1"/>
  <c r="F32" i="1" s="1"/>
  <c r="C35" i="1"/>
  <c r="F35" i="1" s="1"/>
  <c r="AE54" i="1"/>
  <c r="D12" i="1"/>
  <c r="O54" i="1"/>
  <c r="X54" i="1"/>
  <c r="P54" i="1"/>
  <c r="F6" i="1"/>
  <c r="AD12" i="1"/>
  <c r="N59" i="1"/>
  <c r="AD56" i="1" l="1"/>
  <c r="F12" i="1"/>
  <c r="AE6" i="1"/>
  <c r="AE12" i="1" s="1"/>
  <c r="AE56" i="1" s="1"/>
  <c r="O57" i="1"/>
  <c r="O56" i="1"/>
  <c r="O59" i="1" s="1"/>
  <c r="S57" i="1"/>
  <c r="S59" i="1" s="1"/>
  <c r="P56" i="1"/>
  <c r="P57" i="1"/>
  <c r="T56" i="1"/>
  <c r="T59" i="1" s="1"/>
  <c r="T57" i="1"/>
  <c r="X57" i="1"/>
  <c r="X56" i="1"/>
  <c r="X59" i="1" s="1"/>
  <c r="D56" i="1"/>
  <c r="D57" i="1" s="1"/>
  <c r="D13" i="1"/>
  <c r="F13" i="1" s="1"/>
  <c r="AE13" i="1" s="1"/>
  <c r="AC57" i="1"/>
  <c r="AC56" i="1"/>
  <c r="AC59" i="1" s="1"/>
  <c r="C20" i="1"/>
  <c r="AD54" i="1"/>
  <c r="F20" i="1" l="1"/>
  <c r="F54" i="1" s="1"/>
  <c r="F56" i="1" s="1"/>
  <c r="C54" i="1"/>
  <c r="C56" i="1" s="1"/>
  <c r="C57" i="1" s="1"/>
  <c r="F57" i="1" s="1"/>
  <c r="P59" i="1"/>
  <c r="AE59" i="1" s="1"/>
  <c r="AD57" i="1"/>
  <c r="AE57" i="1" l="1"/>
  <c r="AE61" i="1" s="1"/>
</calcChain>
</file>

<file path=xl/comments1.xml><?xml version="1.0" encoding="utf-8"?>
<comments xmlns="http://schemas.openxmlformats.org/spreadsheetml/2006/main">
  <authors>
    <author>Pete Horton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Pete Horton:</t>
        </r>
        <r>
          <rPr>
            <sz val="9"/>
            <color indexed="81"/>
            <rFont val="Tahoma"/>
            <family val="2"/>
          </rPr>
          <t xml:space="preserve">
Using 90% of prior year income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Pete Horton:</t>
        </r>
        <r>
          <rPr>
            <sz val="9"/>
            <color indexed="81"/>
            <rFont val="Tahoma"/>
            <family val="2"/>
          </rPr>
          <t xml:space="preserve">
90% of (estimated) of prior year amount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Pete Horton:</t>
        </r>
        <r>
          <rPr>
            <sz val="9"/>
            <color indexed="81"/>
            <rFont val="Tahoma"/>
            <family val="2"/>
          </rPr>
          <t xml:space="preserve">
90% of (estimated) prior year amount</t>
        </r>
      </text>
    </comment>
    <comment ref="T17" authorId="0" shapeId="0">
      <text>
        <r>
          <rPr>
            <b/>
            <sz val="9"/>
            <color indexed="81"/>
            <rFont val="Tahoma"/>
            <family val="2"/>
          </rPr>
          <t>Pete Horton:</t>
        </r>
        <r>
          <rPr>
            <sz val="9"/>
            <color indexed="81"/>
            <rFont val="Tahoma"/>
            <family val="2"/>
          </rPr>
          <t xml:space="preserve">
Ed Solomon Award
</t>
        </r>
      </text>
    </comment>
    <comment ref="S19" authorId="0" shapeId="0">
      <text>
        <r>
          <rPr>
            <b/>
            <sz val="9"/>
            <color indexed="81"/>
            <rFont val="Tahoma"/>
            <family val="2"/>
          </rPr>
          <t>Pete Horton:</t>
        </r>
        <r>
          <rPr>
            <sz val="9"/>
            <color indexed="81"/>
            <rFont val="Tahoma"/>
            <family val="2"/>
          </rPr>
          <t xml:space="preserve">
FLF patches 2018-2019</t>
        </r>
      </text>
    </comment>
    <comment ref="A20" authorId="0" shapeId="0">
      <text>
        <r>
          <rPr>
            <b/>
            <sz val="8"/>
            <color indexed="81"/>
            <rFont val="Tahoma"/>
            <family val="2"/>
          </rPr>
          <t>Pete Horton:</t>
        </r>
        <r>
          <rPr>
            <sz val="8"/>
            <color indexed="81"/>
            <rFont val="Tahoma"/>
            <family val="2"/>
          </rPr>
          <t xml:space="preserve">
Allocation is made based on salary distribution with departments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Pete Horton:</t>
        </r>
        <r>
          <rPr>
            <sz val="9"/>
            <color indexed="81"/>
            <rFont val="Tahoma"/>
            <family val="2"/>
          </rPr>
          <t xml:space="preserve">
$5,000 for Accelerate receptions (2)
</t>
        </r>
      </text>
    </comment>
    <comment ref="R22" authorId="0" shapeId="0">
      <text>
        <r>
          <rPr>
            <b/>
            <sz val="8"/>
            <color indexed="81"/>
            <rFont val="Tahoma"/>
            <family val="2"/>
          </rPr>
          <t>Pete Horton:</t>
        </r>
        <r>
          <rPr>
            <sz val="8"/>
            <color indexed="81"/>
            <rFont val="Tahoma"/>
            <family val="2"/>
          </rPr>
          <t xml:space="preserve">
HB at DCON 200 at $35.00
 </t>
        </r>
      </text>
    </comment>
    <comment ref="A28" authorId="0" shapeId="0">
      <text>
        <r>
          <rPr>
            <b/>
            <sz val="8"/>
            <color indexed="81"/>
            <rFont val="Tahoma"/>
            <family val="2"/>
          </rPr>
          <t>Pete Horton:
This required by the CA Attorney General for the raffle license.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8" authorId="0" shapeId="0">
      <text>
        <r>
          <rPr>
            <b/>
            <sz val="9"/>
            <color indexed="81"/>
            <rFont val="Tahoma"/>
            <charset val="1"/>
          </rPr>
          <t>Pete Horton:</t>
        </r>
        <r>
          <rPr>
            <sz val="9"/>
            <color indexed="81"/>
            <rFont val="Tahoma"/>
            <charset val="1"/>
          </rPr>
          <t xml:space="preserve">
$1,800 for ICL raffles
$4,500 for Dine Anywhere tickets</t>
        </r>
      </text>
    </comment>
    <comment ref="T29" authorId="0" shapeId="0">
      <text>
        <r>
          <rPr>
            <b/>
            <sz val="8"/>
            <color indexed="81"/>
            <rFont val="Tahoma"/>
            <family val="2"/>
          </rPr>
          <t>Pete Horton:</t>
        </r>
        <r>
          <rPr>
            <sz val="8"/>
            <color indexed="81"/>
            <rFont val="Tahoma"/>
            <family val="2"/>
          </rPr>
          <t xml:space="preserve">
Jack Luther Award
</t>
        </r>
      </text>
    </comment>
    <comment ref="A35" authorId="0" shapeId="0">
      <text>
        <r>
          <rPr>
            <b/>
            <sz val="8"/>
            <color indexed="81"/>
            <rFont val="Tahoma"/>
            <family val="2"/>
          </rPr>
          <t>Pete Horton:</t>
        </r>
        <r>
          <rPr>
            <sz val="8"/>
            <color indexed="81"/>
            <rFont val="Tahoma"/>
            <family val="2"/>
          </rPr>
          <t xml:space="preserve">
Allocation is made based on overall salary distribution within departments</t>
        </r>
      </text>
    </comment>
    <comment ref="N69" authorId="0" shapeId="0">
      <text>
        <r>
          <rPr>
            <b/>
            <sz val="9"/>
            <color indexed="81"/>
            <rFont val="Tahoma"/>
            <family val="2"/>
          </rPr>
          <t>Pete Horton:</t>
        </r>
        <r>
          <rPr>
            <sz val="9"/>
            <color indexed="81"/>
            <rFont val="Tahoma"/>
            <family val="2"/>
          </rPr>
          <t xml:space="preserve">
From Achievement Awards Trust</t>
        </r>
      </text>
    </comment>
    <comment ref="O69" authorId="0" shapeId="0">
      <text>
        <r>
          <rPr>
            <b/>
            <sz val="9"/>
            <color indexed="81"/>
            <rFont val="Tahoma"/>
            <family val="2"/>
          </rPr>
          <t>Pete Horton:</t>
        </r>
        <r>
          <rPr>
            <sz val="9"/>
            <color indexed="81"/>
            <rFont val="Tahoma"/>
            <family val="2"/>
          </rPr>
          <t xml:space="preserve">
From Achievement Awards Trust</t>
        </r>
      </text>
    </comment>
    <comment ref="P69" authorId="0" shapeId="0">
      <text>
        <r>
          <rPr>
            <b/>
            <sz val="9"/>
            <color indexed="81"/>
            <rFont val="Tahoma"/>
            <family val="2"/>
          </rPr>
          <t>Pete Horton:</t>
        </r>
        <r>
          <rPr>
            <sz val="9"/>
            <color indexed="81"/>
            <rFont val="Tahoma"/>
            <family val="2"/>
          </rPr>
          <t xml:space="preserve">
From Achievement Awards Trust</t>
        </r>
      </text>
    </comment>
    <comment ref="C84" authorId="0" shapeId="0">
      <text>
        <r>
          <rPr>
            <b/>
            <sz val="9"/>
            <color indexed="81"/>
            <rFont val="Tahoma"/>
            <family val="2"/>
          </rPr>
          <t>Pete Horton:</t>
        </r>
        <r>
          <rPr>
            <sz val="9"/>
            <color indexed="81"/>
            <rFont val="Tahoma"/>
            <family val="2"/>
          </rPr>
          <t xml:space="preserve">
% increase from 2017 to the rate at the Marriott Santa Ynez</t>
        </r>
      </text>
    </comment>
    <comment ref="C86" authorId="0" shapeId="0">
      <text>
        <r>
          <rPr>
            <b/>
            <sz val="9"/>
            <color indexed="81"/>
            <rFont val="Tahoma"/>
            <family val="2"/>
          </rPr>
          <t>Pete Horton:</t>
        </r>
        <r>
          <rPr>
            <sz val="9"/>
            <color indexed="81"/>
            <rFont val="Tahoma"/>
            <family val="2"/>
          </rPr>
          <t xml:space="preserve">
No retreat facilitator per Roy</t>
        </r>
      </text>
    </comment>
    <comment ref="E142" authorId="0" shapeId="0">
      <text>
        <r>
          <rPr>
            <b/>
            <sz val="9"/>
            <color indexed="81"/>
            <rFont val="Tahoma"/>
            <family val="2"/>
          </rPr>
          <t>Pete Horton:</t>
        </r>
        <r>
          <rPr>
            <sz val="9"/>
            <color indexed="81"/>
            <rFont val="Tahoma"/>
            <family val="2"/>
          </rPr>
          <t xml:space="preserve">
Estimate $32,250 reduction at 4.25% for 6 months average
</t>
        </r>
      </text>
    </comment>
  </commentList>
</comments>
</file>

<file path=xl/sharedStrings.xml><?xml version="1.0" encoding="utf-8"?>
<sst xmlns="http://schemas.openxmlformats.org/spreadsheetml/2006/main" count="281" uniqueCount="191">
  <si>
    <t>Management</t>
  </si>
  <si>
    <t>Fundraising</t>
  </si>
  <si>
    <t>Building</t>
  </si>
  <si>
    <t>Support Svcs</t>
  </si>
  <si>
    <t>CNH Key Club</t>
  </si>
  <si>
    <t>Circle K</t>
  </si>
  <si>
    <t>KIWIN'S</t>
  </si>
  <si>
    <t>Hoeft</t>
  </si>
  <si>
    <t>McElwain</t>
  </si>
  <si>
    <t>Muggelberg</t>
  </si>
  <si>
    <t>Pediatric</t>
  </si>
  <si>
    <t>SLP Training</t>
  </si>
  <si>
    <t>Youth Activities</t>
  </si>
  <si>
    <t>Dunlap</t>
  </si>
  <si>
    <t>Distinguished</t>
  </si>
  <si>
    <t>Foundation</t>
  </si>
  <si>
    <t>Nathan</t>
  </si>
  <si>
    <t>Bert</t>
  </si>
  <si>
    <t>Hope of</t>
  </si>
  <si>
    <t>Club/Div</t>
  </si>
  <si>
    <t>FCA/Lowell</t>
  </si>
  <si>
    <t>Special</t>
  </si>
  <si>
    <t>Rose Float</t>
  </si>
  <si>
    <t>Disaster</t>
  </si>
  <si>
    <t>Prgrm Svcs</t>
  </si>
  <si>
    <t>Overall</t>
  </si>
  <si>
    <t>Prior</t>
  </si>
  <si>
    <t>Current Year</t>
  </si>
  <si>
    <t>Note:  send budget summary with highlighted columns only</t>
  </si>
  <si>
    <t>&amp; General</t>
  </si>
  <si>
    <t>Totals</t>
  </si>
  <si>
    <t>Scholarship</t>
  </si>
  <si>
    <t>PTP</t>
  </si>
  <si>
    <t>Key Club</t>
  </si>
  <si>
    <t>Key Leader/Aktion</t>
  </si>
  <si>
    <t>Fellowship</t>
  </si>
  <si>
    <t>Service Award</t>
  </si>
  <si>
    <t>Awards</t>
  </si>
  <si>
    <t>Hale</t>
  </si>
  <si>
    <t>Shoemaker</t>
  </si>
  <si>
    <t>America</t>
  </si>
  <si>
    <t>Grants</t>
  </si>
  <si>
    <t>Lass Fund</t>
  </si>
  <si>
    <t>Olympics</t>
  </si>
  <si>
    <t>Medallion</t>
  </si>
  <si>
    <t>Walker Trust</t>
  </si>
  <si>
    <t>Assistance</t>
  </si>
  <si>
    <t>Budget</t>
  </si>
  <si>
    <t xml:space="preserve">Year </t>
  </si>
  <si>
    <t>12 Month</t>
  </si>
  <si>
    <t>Dept.</t>
  </si>
  <si>
    <t>M&amp;G</t>
  </si>
  <si>
    <t>Scholarships</t>
  </si>
  <si>
    <t>Youth Dev</t>
  </si>
  <si>
    <t>Projection</t>
  </si>
  <si>
    <t>REVENUE</t>
  </si>
  <si>
    <t>A/C</t>
  </si>
  <si>
    <t>Unrestricted</t>
  </si>
  <si>
    <t>Temporarily Restricted</t>
  </si>
  <si>
    <t>Unrestricted Allocation (at 7.5%)</t>
  </si>
  <si>
    <t>Endowment Spending @5%</t>
  </si>
  <si>
    <t>Dividend Income</t>
  </si>
  <si>
    <t>Interest Income</t>
  </si>
  <si>
    <t xml:space="preserve">  Totals</t>
  </si>
  <si>
    <t xml:space="preserve">  Total Unrestricted</t>
  </si>
  <si>
    <t>EXPENSE</t>
  </si>
  <si>
    <t>Audit Fees</t>
  </si>
  <si>
    <t>Bank Fees</t>
  </si>
  <si>
    <t>Banner Patches</t>
  </si>
  <si>
    <t>Benefits</t>
  </si>
  <si>
    <t>Computer Supplies &amp; Support</t>
  </si>
  <si>
    <t>Conferences &amp; Mtgs</t>
  </si>
  <si>
    <t>Credit Card Fees</t>
  </si>
  <si>
    <t>Depreciation</t>
  </si>
  <si>
    <t>District Office Overhead</t>
  </si>
  <si>
    <t>Dues &amp; Subscriptions</t>
  </si>
  <si>
    <t>Fund Raising Expense</t>
  </si>
  <si>
    <t>Fund Raising-Raffle Prizes</t>
  </si>
  <si>
    <t>Community Service Items</t>
  </si>
  <si>
    <t>Insurance</t>
  </si>
  <si>
    <t>Insurance Workers Compensation</t>
  </si>
  <si>
    <t>Interest Expense</t>
  </si>
  <si>
    <t>Office Expense</t>
  </si>
  <si>
    <t xml:space="preserve">Pension </t>
  </si>
  <si>
    <t>Postage &amp; Mailing</t>
  </si>
  <si>
    <t>Printing</t>
  </si>
  <si>
    <t>Professional Services</t>
  </si>
  <si>
    <t>Professional Svcs-ML</t>
  </si>
  <si>
    <t>Promotional</t>
  </si>
  <si>
    <t>Rent</t>
  </si>
  <si>
    <t>Repairs &amp; Maintenance</t>
  </si>
  <si>
    <t>Salary-Secretary/Treasurer</t>
  </si>
  <si>
    <t>Salary-Administrative Assistants</t>
  </si>
  <si>
    <t>Salary-Executive Director</t>
  </si>
  <si>
    <t>Sales Items</t>
  </si>
  <si>
    <t>Supplies</t>
  </si>
  <si>
    <t>Tax &amp; License</t>
  </si>
  <si>
    <t>Taxes, Payroll</t>
  </si>
  <si>
    <t>Telephone</t>
  </si>
  <si>
    <t>Travel</t>
  </si>
  <si>
    <t>Utilities</t>
  </si>
  <si>
    <t>Excess of Revenue Over &lt;Expense&gt;</t>
  </si>
  <si>
    <t>Unrestricted Revenue Over &lt;Expense&gt;</t>
  </si>
  <si>
    <t>Temporarily Restricted Fund Balance (6-30-18)</t>
  </si>
  <si>
    <t>Temporarily Restricted Fund Balance - after Allocation of Income (Loss)</t>
  </si>
  <si>
    <t>Unrestricted Fund Balance - Beginning</t>
  </si>
  <si>
    <t>(Projected)</t>
  </si>
  <si>
    <t>Unrestricted Fund Balance - Ending</t>
  </si>
  <si>
    <t>Expense s/b allocated on fund balances</t>
  </si>
  <si>
    <t>Denotes formula with allocated expense</t>
  </si>
  <si>
    <t>Capital Equipment Budget</t>
  </si>
  <si>
    <t>Volunteer Mileage Rate</t>
  </si>
  <si>
    <t>IRS Rate</t>
  </si>
  <si>
    <t>Restricted Fund Balances</t>
  </si>
  <si>
    <t>Lowell Lass</t>
  </si>
  <si>
    <t>(as of 6-30-18)</t>
  </si>
  <si>
    <t xml:space="preserve">FCA </t>
  </si>
  <si>
    <t>Permanently Restricted Fund Balance</t>
  </si>
  <si>
    <t>Temporarily Restricted Fund Balance</t>
  </si>
  <si>
    <t xml:space="preserve">  Sub-total</t>
  </si>
  <si>
    <t>Endowment Spending @ 5%</t>
  </si>
  <si>
    <t>Summary Information</t>
  </si>
  <si>
    <t>Retreat meals &amp; AV</t>
  </si>
  <si>
    <t>Board meeting expense</t>
  </si>
  <si>
    <t>President's expense</t>
  </si>
  <si>
    <t>Staff</t>
  </si>
  <si>
    <t xml:space="preserve">  Total Conference &amp; Mtgs</t>
  </si>
  <si>
    <t>Retreat travel</t>
  </si>
  <si>
    <t>Speakers &amp; Facilitators</t>
  </si>
  <si>
    <t>Ambassadors - 10 @ $250</t>
  </si>
  <si>
    <t>Staff travel</t>
  </si>
  <si>
    <t xml:space="preserve">  Total travel </t>
  </si>
  <si>
    <t>Additional Fund Raising per Board 11-4-18</t>
  </si>
  <si>
    <t>PTP General</t>
  </si>
  <si>
    <t>SLP Transition</t>
  </si>
  <si>
    <t>Dine Anywhere Fundraiser (200 @$75)</t>
  </si>
  <si>
    <t>SLP</t>
  </si>
  <si>
    <t xml:space="preserve">Key Leader </t>
  </si>
  <si>
    <t>Club grants</t>
  </si>
  <si>
    <t>Friends of the Foundation</t>
  </si>
  <si>
    <t>PTP Item Sales</t>
  </si>
  <si>
    <t>Aktion DCON</t>
  </si>
  <si>
    <t>100th Anniversay</t>
  </si>
  <si>
    <t>Founders Day</t>
  </si>
  <si>
    <t>Other</t>
  </si>
  <si>
    <t>Gala</t>
  </si>
  <si>
    <t>Tablet of Honor</t>
  </si>
  <si>
    <t>Champions for Children</t>
  </si>
  <si>
    <t>Raffles/General Receipts</t>
  </si>
  <si>
    <t>Computer supplies/software</t>
  </si>
  <si>
    <t>Website &amp; Website Development</t>
  </si>
  <si>
    <t>Pay Pal, Give, etc.</t>
  </si>
  <si>
    <t>Merrill Lynch Sponsorship of HB</t>
  </si>
  <si>
    <t>KIF Support of HB at DCON</t>
  </si>
  <si>
    <t>Honors Breakfast Paid Meals</t>
  </si>
  <si>
    <t>Unrestricted Dunlaps</t>
  </si>
  <si>
    <t>Award Cost Dunlaps</t>
  </si>
  <si>
    <t>Distinguished Service Awards</t>
  </si>
  <si>
    <t>Bricks, presidents, Lt. Governors, etc</t>
  </si>
  <si>
    <t>Founding Sponsors</t>
  </si>
  <si>
    <t>Training Room/Board Room Rental</t>
  </si>
  <si>
    <t>Suite 101</t>
  </si>
  <si>
    <t>Suite 102</t>
  </si>
  <si>
    <t>Suite 103</t>
  </si>
  <si>
    <t>Suite 201</t>
  </si>
  <si>
    <t>Suite 202</t>
  </si>
  <si>
    <t>Sub total</t>
  </si>
  <si>
    <t>Vacancy factor</t>
  </si>
  <si>
    <t>Gross projected rents.</t>
  </si>
  <si>
    <t>Interest income-Shitabata loan</t>
  </si>
  <si>
    <t>Interest income- Brown loan</t>
  </si>
  <si>
    <t>Expense:</t>
  </si>
  <si>
    <t>Interest Expense to CNH Investors 2006 Note</t>
  </si>
  <si>
    <t>CNH Investors 2009 Note</t>
  </si>
  <si>
    <t>CNH Investors 2011 Note</t>
  </si>
  <si>
    <t>Estimated Interest Reduction on Renewed Notes</t>
  </si>
  <si>
    <t>HVAC Maintenance</t>
  </si>
  <si>
    <t>Otis Elevator</t>
  </si>
  <si>
    <t>Cleaning</t>
  </si>
  <si>
    <t>Gardening &amp; Landscape</t>
  </si>
  <si>
    <t>Pest Control</t>
  </si>
  <si>
    <t>Carpet Cleaning &amp; Misc. Repairs</t>
  </si>
  <si>
    <t>General Awards - Tablets, FOF, etc.</t>
  </si>
  <si>
    <t>Accelerate Initiative Awards</t>
  </si>
  <si>
    <t xml:space="preserve">  Total Awards</t>
  </si>
  <si>
    <t>Club Grants</t>
  </si>
  <si>
    <t>Division/Multi Club grants for PTP</t>
  </si>
  <si>
    <t>Hospital Grants</t>
  </si>
  <si>
    <t>SLP Grants</t>
  </si>
  <si>
    <t xml:space="preserve">  Total PTP Grants</t>
  </si>
  <si>
    <t>Indicates Revisions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</si>
</sst>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  <numFmt numFmtId="167" formatCode="_(&quot;$&quot;* #,##0.000_);_(&quot;$&quot;* \(#,##0.000\);_(&quot;$&quot;* &quot;-&quot;??_);_(@_)"/>
  </numFmts>
  <fonts count="16" x14ac:knownFonts="1">
    <font>
      <sz val="10"/>
      <name val="Helv"/>
    </font>
    <font>
      <sz val="10"/>
      <name val="Helv"/>
    </font>
    <font>
      <b/>
      <sz val="10"/>
      <color indexed="10"/>
      <name val="Helv"/>
    </font>
    <font>
      <b/>
      <sz val="10"/>
      <name val="Helv"/>
    </font>
    <font>
      <i/>
      <sz val="10"/>
      <name val="Helv"/>
    </font>
    <font>
      <sz val="10"/>
      <name val="Arial"/>
      <family val="2"/>
    </font>
    <font>
      <sz val="10"/>
      <color rgb="FFFF0000"/>
      <name val="Helv"/>
    </font>
    <font>
      <sz val="10"/>
      <color indexed="10"/>
      <name val="Helv"/>
    </font>
    <font>
      <b/>
      <i/>
      <sz val="10"/>
      <name val="Helv"/>
    </font>
    <font>
      <u/>
      <sz val="10"/>
      <color indexed="12"/>
      <name val="Helv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thick">
        <color indexed="8"/>
      </left>
      <right/>
      <top/>
      <bottom style="double">
        <color indexed="8"/>
      </bottom>
      <diagonal/>
    </border>
    <border>
      <left style="thick">
        <color indexed="64"/>
      </left>
      <right/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8"/>
      </left>
      <right/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8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thick">
        <color indexed="64"/>
      </left>
      <right style="thick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8"/>
      </top>
      <bottom style="double">
        <color indexed="64"/>
      </bottom>
      <diagonal/>
    </border>
    <border>
      <left style="thick">
        <color indexed="64"/>
      </left>
      <right/>
      <top style="double">
        <color indexed="8"/>
      </top>
      <bottom style="thick">
        <color indexed="8"/>
      </bottom>
      <diagonal/>
    </border>
    <border>
      <left style="thick">
        <color indexed="8"/>
      </left>
      <right/>
      <top style="double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81">
    <xf numFmtId="0" fontId="0" fillId="0" borderId="0" xfId="0"/>
    <xf numFmtId="0" fontId="2" fillId="0" borderId="0" xfId="0" applyFont="1" applyFill="1"/>
    <xf numFmtId="0" fontId="0" fillId="0" borderId="1" xfId="0" applyFill="1" applyBorder="1"/>
    <xf numFmtId="0" fontId="0" fillId="0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0" fillId="0" borderId="0" xfId="0" applyFill="1"/>
    <xf numFmtId="0" fontId="0" fillId="0" borderId="0" xfId="0" applyFill="1" applyBorder="1" applyAlignment="1" applyProtection="1">
      <alignment horizontal="left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0" fontId="3" fillId="0" borderId="4" xfId="0" applyFont="1" applyFill="1" applyBorder="1"/>
    <xf numFmtId="0" fontId="4" fillId="0" borderId="7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3" fillId="3" borderId="9" xfId="0" applyFont="1" applyFill="1" applyBorder="1" applyAlignment="1">
      <alignment horizontal="center"/>
    </xf>
    <xf numFmtId="0" fontId="0" fillId="0" borderId="4" xfId="0" applyBorder="1"/>
    <xf numFmtId="0" fontId="0" fillId="0" borderId="10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0" fontId="3" fillId="0" borderId="14" xfId="0" applyFont="1" applyFill="1" applyBorder="1"/>
    <xf numFmtId="0" fontId="3" fillId="0" borderId="0" xfId="0" applyFont="1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0" fillId="0" borderId="12" xfId="0" applyFill="1" applyBorder="1"/>
    <xf numFmtId="0" fontId="0" fillId="0" borderId="13" xfId="0" applyFill="1" applyBorder="1"/>
    <xf numFmtId="0" fontId="3" fillId="0" borderId="6" xfId="0" applyFont="1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Protection="1">
      <protection locked="0"/>
    </xf>
    <xf numFmtId="164" fontId="0" fillId="4" borderId="18" xfId="2" applyNumberFormat="1" applyFont="1" applyFill="1" applyBorder="1" applyProtection="1"/>
    <xf numFmtId="164" fontId="0" fillId="4" borderId="15" xfId="2" applyNumberFormat="1" applyFont="1" applyFill="1" applyBorder="1"/>
    <xf numFmtId="164" fontId="0" fillId="0" borderId="16" xfId="2" applyNumberFormat="1" applyFont="1" applyFill="1" applyBorder="1"/>
    <xf numFmtId="164" fontId="0" fillId="0" borderId="17" xfId="2" applyNumberFormat="1" applyFont="1" applyFill="1" applyBorder="1" applyProtection="1">
      <protection locked="0"/>
    </xf>
    <xf numFmtId="164" fontId="0" fillId="0" borderId="18" xfId="2" applyNumberFormat="1" applyFont="1" applyFill="1" applyBorder="1" applyProtection="1">
      <protection locked="0"/>
    </xf>
    <xf numFmtId="164" fontId="0" fillId="4" borderId="18" xfId="2" applyNumberFormat="1" applyFont="1" applyFill="1" applyBorder="1"/>
    <xf numFmtId="164" fontId="0" fillId="0" borderId="19" xfId="2" applyNumberFormat="1" applyFont="1" applyFill="1" applyBorder="1"/>
    <xf numFmtId="164" fontId="0" fillId="0" borderId="20" xfId="2" applyNumberFormat="1" applyFont="1" applyFill="1" applyBorder="1"/>
    <xf numFmtId="164" fontId="3" fillId="0" borderId="21" xfId="2" applyNumberFormat="1" applyFont="1" applyFill="1" applyBorder="1"/>
    <xf numFmtId="0" fontId="0" fillId="0" borderId="15" xfId="0" applyFill="1" applyBorder="1" applyProtection="1"/>
    <xf numFmtId="0" fontId="0" fillId="0" borderId="16" xfId="0" applyFill="1" applyBorder="1" applyProtection="1"/>
    <xf numFmtId="164" fontId="0" fillId="0" borderId="15" xfId="2" applyNumberFormat="1" applyFont="1" applyFill="1" applyBorder="1" applyProtection="1">
      <protection locked="0"/>
    </xf>
    <xf numFmtId="164" fontId="0" fillId="0" borderId="22" xfId="2" applyNumberFormat="1" applyFont="1" applyFill="1" applyBorder="1"/>
    <xf numFmtId="165" fontId="0" fillId="0" borderId="23" xfId="1" applyNumberFormat="1" applyFont="1" applyFill="1" applyBorder="1"/>
    <xf numFmtId="165" fontId="3" fillId="0" borderId="24" xfId="1" applyNumberFormat="1" applyFont="1" applyFill="1" applyBorder="1"/>
    <xf numFmtId="164" fontId="0" fillId="4" borderId="18" xfId="2" applyNumberFormat="1" applyFont="1" applyFill="1" applyBorder="1" applyProtection="1">
      <protection locked="0"/>
    </xf>
    <xf numFmtId="164" fontId="0" fillId="4" borderId="16" xfId="2" applyNumberFormat="1" applyFont="1" applyFill="1" applyBorder="1"/>
    <xf numFmtId="164" fontId="0" fillId="4" borderId="25" xfId="2" applyNumberFormat="1" applyFont="1" applyFill="1" applyBorder="1" applyProtection="1">
      <protection locked="0"/>
    </xf>
    <xf numFmtId="164" fontId="0" fillId="0" borderId="25" xfId="2" applyNumberFormat="1" applyFont="1" applyFill="1" applyBorder="1" applyProtection="1">
      <protection locked="0"/>
    </xf>
    <xf numFmtId="41" fontId="0" fillId="0" borderId="17" xfId="0" applyNumberFormat="1" applyFill="1" applyBorder="1" applyProtection="1">
      <protection locked="0"/>
    </xf>
    <xf numFmtId="164" fontId="0" fillId="0" borderId="26" xfId="2" applyNumberFormat="1" applyFont="1" applyFill="1" applyBorder="1"/>
    <xf numFmtId="164" fontId="0" fillId="4" borderId="18" xfId="2" applyNumberFormat="1" applyFont="1" applyFill="1" applyBorder="1" applyAlignment="1" applyProtection="1">
      <alignment horizontal="right"/>
    </xf>
    <xf numFmtId="164" fontId="0" fillId="0" borderId="19" xfId="2" applyNumberFormat="1" applyFont="1" applyFill="1" applyBorder="1" applyAlignment="1">
      <alignment horizontal="right"/>
    </xf>
    <xf numFmtId="0" fontId="0" fillId="0" borderId="27" xfId="0" applyFill="1" applyBorder="1"/>
    <xf numFmtId="0" fontId="0" fillId="0" borderId="28" xfId="0" applyFill="1" applyBorder="1"/>
    <xf numFmtId="0" fontId="0" fillId="0" borderId="29" xfId="0" applyFill="1" applyBorder="1"/>
    <xf numFmtId="164" fontId="0" fillId="0" borderId="26" xfId="2" applyNumberFormat="1" applyFont="1" applyFill="1" applyBorder="1" applyProtection="1">
      <protection locked="0"/>
    </xf>
    <xf numFmtId="164" fontId="0" fillId="5" borderId="27" xfId="2" applyNumberFormat="1" applyFont="1" applyFill="1" applyBorder="1"/>
    <xf numFmtId="164" fontId="0" fillId="0" borderId="29" xfId="2" applyNumberFormat="1" applyFont="1" applyFill="1" applyBorder="1"/>
    <xf numFmtId="164" fontId="0" fillId="0" borderId="30" xfId="2" applyNumberFormat="1" applyFont="1" applyFill="1" applyBorder="1"/>
    <xf numFmtId="164" fontId="0" fillId="0" borderId="31" xfId="2" applyNumberFormat="1" applyFont="1" applyFill="1" applyBorder="1"/>
    <xf numFmtId="5" fontId="0" fillId="0" borderId="32" xfId="0" applyNumberFormat="1" applyFill="1" applyBorder="1" applyProtection="1"/>
    <xf numFmtId="5" fontId="0" fillId="0" borderId="33" xfId="0" applyNumberFormat="1" applyFill="1" applyBorder="1" applyProtection="1"/>
    <xf numFmtId="5" fontId="0" fillId="0" borderId="34" xfId="0" applyNumberFormat="1" applyFill="1" applyBorder="1" applyProtection="1"/>
    <xf numFmtId="5" fontId="0" fillId="0" borderId="35" xfId="0" applyNumberFormat="1" applyFill="1" applyBorder="1" applyProtection="1"/>
    <xf numFmtId="164" fontId="0" fillId="0" borderId="34" xfId="2" applyNumberFormat="1" applyFont="1" applyFill="1" applyBorder="1" applyProtection="1"/>
    <xf numFmtId="164" fontId="0" fillId="0" borderId="36" xfId="2" applyNumberFormat="1" applyFont="1" applyFill="1" applyBorder="1" applyProtection="1"/>
    <xf numFmtId="164" fontId="0" fillId="0" borderId="37" xfId="2" applyNumberFormat="1" applyFont="1" applyFill="1" applyBorder="1" applyProtection="1"/>
    <xf numFmtId="164" fontId="3" fillId="0" borderId="24" xfId="2" applyNumberFormat="1" applyFont="1" applyFill="1" applyBorder="1"/>
    <xf numFmtId="0" fontId="4" fillId="0" borderId="0" xfId="0" applyFont="1" applyFill="1" applyBorder="1"/>
    <xf numFmtId="0" fontId="4" fillId="0" borderId="4" xfId="0" applyFont="1" applyFill="1" applyBorder="1"/>
    <xf numFmtId="5" fontId="0" fillId="0" borderId="38" xfId="0" applyNumberFormat="1" applyFill="1" applyBorder="1" applyProtection="1"/>
    <xf numFmtId="5" fontId="0" fillId="0" borderId="39" xfId="0" applyNumberFormat="1" applyFill="1" applyBorder="1" applyProtection="1"/>
    <xf numFmtId="164" fontId="0" fillId="0" borderId="40" xfId="0" applyNumberFormat="1" applyFill="1" applyBorder="1" applyProtection="1"/>
    <xf numFmtId="5" fontId="0" fillId="0" borderId="41" xfId="0" applyNumberFormat="1" applyFill="1" applyBorder="1" applyProtection="1"/>
    <xf numFmtId="164" fontId="0" fillId="0" borderId="42" xfId="2" applyNumberFormat="1" applyFont="1" applyFill="1" applyBorder="1"/>
    <xf numFmtId="164" fontId="0" fillId="0" borderId="43" xfId="2" applyNumberFormat="1" applyFont="1" applyFill="1" applyBorder="1"/>
    <xf numFmtId="164" fontId="0" fillId="0" borderId="44" xfId="0" applyNumberFormat="1" applyBorder="1"/>
    <xf numFmtId="164" fontId="3" fillId="0" borderId="45" xfId="2" applyNumberFormat="1" applyFont="1" applyFill="1" applyBorder="1"/>
    <xf numFmtId="0" fontId="0" fillId="0" borderId="0" xfId="0" applyFill="1" applyBorder="1"/>
    <xf numFmtId="0" fontId="0" fillId="0" borderId="46" xfId="0" applyFill="1" applyBorder="1" applyProtection="1"/>
    <xf numFmtId="0" fontId="0" fillId="0" borderId="4" xfId="0" applyFill="1" applyBorder="1" applyProtection="1"/>
    <xf numFmtId="0" fontId="0" fillId="0" borderId="12" xfId="0" applyFill="1" applyBorder="1" applyProtection="1"/>
    <xf numFmtId="7" fontId="0" fillId="0" borderId="47" xfId="0" applyNumberFormat="1" applyFill="1" applyBorder="1" applyProtection="1"/>
    <xf numFmtId="7" fontId="0" fillId="0" borderId="48" xfId="0" applyNumberFormat="1" applyFill="1" applyBorder="1" applyProtection="1"/>
    <xf numFmtId="165" fontId="3" fillId="0" borderId="49" xfId="1" applyNumberFormat="1" applyFont="1" applyFill="1" applyBorder="1"/>
    <xf numFmtId="41" fontId="0" fillId="0" borderId="10" xfId="0" applyNumberFormat="1" applyFill="1" applyBorder="1"/>
    <xf numFmtId="41" fontId="0" fillId="0" borderId="11" xfId="0" applyNumberFormat="1" applyFill="1" applyBorder="1"/>
    <xf numFmtId="41" fontId="0" fillId="0" borderId="46" xfId="0" applyNumberFormat="1" applyFill="1" applyBorder="1" applyProtection="1"/>
    <xf numFmtId="41" fontId="0" fillId="0" borderId="4" xfId="0" applyNumberFormat="1" applyFill="1" applyBorder="1"/>
    <xf numFmtId="41" fontId="0" fillId="0" borderId="10" xfId="0" applyNumberFormat="1" applyFill="1" applyBorder="1" applyProtection="1"/>
    <xf numFmtId="41" fontId="0" fillId="0" borderId="11" xfId="0" applyNumberFormat="1" applyFill="1" applyBorder="1" applyProtection="1"/>
    <xf numFmtId="41" fontId="0" fillId="0" borderId="12" xfId="0" applyNumberFormat="1" applyFill="1" applyBorder="1"/>
    <xf numFmtId="7" fontId="0" fillId="0" borderId="47" xfId="0" applyNumberFormat="1" applyFill="1" applyBorder="1"/>
    <xf numFmtId="165" fontId="3" fillId="0" borderId="6" xfId="1" applyNumberFormat="1" applyFont="1" applyFill="1" applyBorder="1"/>
    <xf numFmtId="41" fontId="0" fillId="0" borderId="18" xfId="0" applyNumberFormat="1" applyFill="1" applyBorder="1" applyProtection="1">
      <protection locked="0"/>
    </xf>
    <xf numFmtId="41" fontId="0" fillId="0" borderId="50" xfId="0" applyNumberFormat="1" applyFill="1" applyBorder="1" applyProtection="1">
      <protection locked="0"/>
    </xf>
    <xf numFmtId="41" fontId="0" fillId="0" borderId="16" xfId="0" applyNumberFormat="1" applyFill="1" applyBorder="1"/>
    <xf numFmtId="41" fontId="6" fillId="0" borderId="18" xfId="0" applyNumberFormat="1" applyFont="1" applyFill="1" applyBorder="1" applyProtection="1">
      <protection locked="0"/>
    </xf>
    <xf numFmtId="41" fontId="0" fillId="0" borderId="19" xfId="0" applyNumberFormat="1" applyFill="1" applyBorder="1"/>
    <xf numFmtId="3" fontId="0" fillId="0" borderId="22" xfId="0" applyNumberFormat="1" applyFill="1" applyBorder="1"/>
    <xf numFmtId="165" fontId="3" fillId="0" borderId="21" xfId="1" applyNumberFormat="1" applyFont="1" applyFill="1" applyBorder="1"/>
    <xf numFmtId="41" fontId="0" fillId="4" borderId="18" xfId="0" applyNumberFormat="1" applyFill="1" applyBorder="1" applyProtection="1">
      <protection locked="0"/>
    </xf>
    <xf numFmtId="6" fontId="0" fillId="4" borderId="18" xfId="0" applyNumberFormat="1" applyFill="1" applyBorder="1" applyProtection="1">
      <protection locked="0"/>
    </xf>
    <xf numFmtId="0" fontId="0" fillId="6" borderId="15" xfId="0" applyFill="1" applyBorder="1"/>
    <xf numFmtId="0" fontId="0" fillId="6" borderId="16" xfId="0" applyFill="1" applyBorder="1"/>
    <xf numFmtId="165" fontId="0" fillId="6" borderId="17" xfId="0" applyNumberFormat="1" applyFill="1" applyBorder="1"/>
    <xf numFmtId="165" fontId="0" fillId="6" borderId="18" xfId="0" applyNumberFormat="1" applyFill="1" applyBorder="1" applyProtection="1"/>
    <xf numFmtId="41" fontId="0" fillId="6" borderId="16" xfId="0" applyNumberFormat="1" applyFill="1" applyBorder="1"/>
    <xf numFmtId="41" fontId="0" fillId="6" borderId="19" xfId="0" applyNumberFormat="1" applyFill="1" applyBorder="1"/>
    <xf numFmtId="3" fontId="0" fillId="7" borderId="22" xfId="0" applyNumberFormat="1" applyFill="1" applyBorder="1" applyProtection="1">
      <protection locked="0"/>
    </xf>
    <xf numFmtId="41" fontId="0" fillId="0" borderId="17" xfId="0" applyNumberFormat="1" applyFill="1" applyBorder="1"/>
    <xf numFmtId="41" fontId="0" fillId="4" borderId="18" xfId="0" applyNumberFormat="1" applyFill="1" applyBorder="1" applyProtection="1"/>
    <xf numFmtId="41" fontId="0" fillId="0" borderId="15" xfId="0" applyNumberFormat="1" applyFill="1" applyBorder="1" applyProtection="1"/>
    <xf numFmtId="41" fontId="0" fillId="0" borderId="25" xfId="0" applyNumberFormat="1" applyFill="1" applyBorder="1" applyProtection="1"/>
    <xf numFmtId="41" fontId="0" fillId="0" borderId="18" xfId="0" applyNumberFormat="1" applyFill="1" applyBorder="1" applyProtection="1"/>
    <xf numFmtId="41" fontId="0" fillId="4" borderId="17" xfId="0" applyNumberFormat="1" applyFill="1" applyBorder="1" applyProtection="1"/>
    <xf numFmtId="41" fontId="0" fillId="8" borderId="18" xfId="0" applyNumberFormat="1" applyFill="1" applyBorder="1" applyProtection="1">
      <protection locked="0"/>
    </xf>
    <xf numFmtId="41" fontId="2" fillId="0" borderId="18" xfId="0" applyNumberFormat="1" applyFont="1" applyFill="1" applyBorder="1" applyProtection="1">
      <protection locked="0"/>
    </xf>
    <xf numFmtId="41" fontId="0" fillId="6" borderId="17" xfId="0" applyNumberFormat="1" applyFill="1" applyBorder="1"/>
    <xf numFmtId="41" fontId="0" fillId="6" borderId="18" xfId="0" applyNumberFormat="1" applyFill="1" applyBorder="1"/>
    <xf numFmtId="41" fontId="0" fillId="6" borderId="25" xfId="0" applyNumberFormat="1" applyFill="1" applyBorder="1"/>
    <xf numFmtId="41" fontId="0" fillId="6" borderId="17" xfId="0" applyNumberFormat="1" applyFill="1" applyBorder="1" applyProtection="1"/>
    <xf numFmtId="41" fontId="0" fillId="6" borderId="18" xfId="0" applyNumberFormat="1" applyFill="1" applyBorder="1" applyProtection="1"/>
    <xf numFmtId="3" fontId="0" fillId="6" borderId="22" xfId="0" applyNumberFormat="1" applyFill="1" applyBorder="1" applyProtection="1">
      <protection locked="0"/>
    </xf>
    <xf numFmtId="41" fontId="7" fillId="0" borderId="18" xfId="0" applyNumberFormat="1" applyFont="1" applyFill="1" applyBorder="1" applyProtection="1">
      <protection locked="0"/>
    </xf>
    <xf numFmtId="0" fontId="0" fillId="0" borderId="16" xfId="0" applyFill="1" applyBorder="1" applyAlignment="1">
      <alignment horizontal="right"/>
    </xf>
    <xf numFmtId="5" fontId="0" fillId="4" borderId="18" xfId="0" applyNumberFormat="1" applyFill="1" applyBorder="1" applyProtection="1">
      <protection locked="0"/>
    </xf>
    <xf numFmtId="165" fontId="0" fillId="6" borderId="18" xfId="1" applyNumberFormat="1" applyFont="1" applyFill="1" applyBorder="1" applyProtection="1"/>
    <xf numFmtId="41" fontId="0" fillId="4" borderId="50" xfId="0" applyNumberFormat="1" applyFill="1" applyBorder="1" applyProtection="1"/>
    <xf numFmtId="41" fontId="0" fillId="0" borderId="18" xfId="0" applyNumberFormat="1" applyFill="1" applyBorder="1"/>
    <xf numFmtId="41" fontId="0" fillId="0" borderId="25" xfId="0" applyNumberFormat="1" applyFill="1" applyBorder="1"/>
    <xf numFmtId="41" fontId="0" fillId="0" borderId="17" xfId="0" applyNumberFormat="1" applyFill="1" applyBorder="1" applyProtection="1"/>
    <xf numFmtId="41" fontId="0" fillId="0" borderId="18" xfId="3" applyNumberFormat="1" applyFont="1" applyFill="1" applyBorder="1" applyProtection="1">
      <protection locked="0"/>
    </xf>
    <xf numFmtId="41" fontId="0" fillId="6" borderId="19" xfId="0" applyNumberFormat="1" applyFill="1" applyBorder="1" applyProtection="1"/>
    <xf numFmtId="0" fontId="0" fillId="7" borderId="15" xfId="0" applyFill="1" applyBorder="1"/>
    <xf numFmtId="0" fontId="0" fillId="7" borderId="16" xfId="0" applyFill="1" applyBorder="1"/>
    <xf numFmtId="41" fontId="0" fillId="7" borderId="17" xfId="0" applyNumberFormat="1" applyFill="1" applyBorder="1"/>
    <xf numFmtId="41" fontId="0" fillId="7" borderId="18" xfId="0" applyNumberFormat="1" applyFill="1" applyBorder="1"/>
    <xf numFmtId="41" fontId="0" fillId="7" borderId="16" xfId="0" applyNumberFormat="1" applyFill="1" applyBorder="1"/>
    <xf numFmtId="41" fontId="0" fillId="0" borderId="15" xfId="0" applyNumberFormat="1" applyFill="1" applyBorder="1"/>
    <xf numFmtId="41" fontId="0" fillId="0" borderId="19" xfId="0" applyNumberFormat="1" applyFill="1" applyBorder="1" applyProtection="1"/>
    <xf numFmtId="41" fontId="0" fillId="0" borderId="50" xfId="0" applyNumberFormat="1" applyFill="1" applyBorder="1" applyProtection="1"/>
    <xf numFmtId="43" fontId="0" fillId="6" borderId="18" xfId="0" applyNumberFormat="1" applyFill="1" applyBorder="1" applyProtection="1"/>
    <xf numFmtId="41" fontId="0" fillId="6" borderId="18" xfId="0" applyNumberFormat="1" applyFill="1" applyBorder="1" applyProtection="1">
      <protection locked="0"/>
    </xf>
    <xf numFmtId="3" fontId="0" fillId="6" borderId="51" xfId="0" applyNumberFormat="1" applyFill="1" applyBorder="1"/>
    <xf numFmtId="3" fontId="0" fillId="6" borderId="52" xfId="0" applyNumberFormat="1" applyFill="1" applyBorder="1"/>
    <xf numFmtId="165" fontId="3" fillId="0" borderId="53" xfId="1" applyNumberFormat="1" applyFont="1" applyFill="1" applyBorder="1"/>
    <xf numFmtId="3" fontId="0" fillId="0" borderId="23" xfId="0" applyNumberFormat="1" applyFill="1" applyBorder="1"/>
    <xf numFmtId="41" fontId="0" fillId="0" borderId="29" xfId="0" applyNumberFormat="1" applyFill="1" applyBorder="1" applyProtection="1">
      <protection locked="0"/>
    </xf>
    <xf numFmtId="41" fontId="0" fillId="0" borderId="26" xfId="0" applyNumberFormat="1" applyFill="1" applyBorder="1" applyProtection="1">
      <protection locked="0"/>
    </xf>
    <xf numFmtId="41" fontId="0" fillId="0" borderId="54" xfId="0" applyNumberFormat="1" applyFill="1" applyBorder="1" applyProtection="1">
      <protection locked="0"/>
    </xf>
    <xf numFmtId="0" fontId="3" fillId="0" borderId="7" xfId="0" applyFont="1" applyFill="1" applyBorder="1"/>
    <xf numFmtId="164" fontId="0" fillId="0" borderId="55" xfId="2" applyNumberFormat="1" applyFont="1" applyFill="1" applyBorder="1" applyProtection="1"/>
    <xf numFmtId="164" fontId="0" fillId="0" borderId="56" xfId="2" applyNumberFormat="1" applyFont="1" applyFill="1" applyBorder="1" applyProtection="1"/>
    <xf numFmtId="164" fontId="0" fillId="0" borderId="57" xfId="2" applyNumberFormat="1" applyFont="1" applyFill="1" applyBorder="1" applyProtection="1"/>
    <xf numFmtId="164" fontId="0" fillId="0" borderId="58" xfId="2" applyNumberFormat="1" applyFont="1" applyFill="1" applyBorder="1" applyProtection="1"/>
    <xf numFmtId="164" fontId="0" fillId="0" borderId="59" xfId="2" applyNumberFormat="1" applyFont="1" applyFill="1" applyBorder="1" applyProtection="1"/>
    <xf numFmtId="164" fontId="0" fillId="0" borderId="60" xfId="2" applyNumberFormat="1" applyFont="1" applyFill="1" applyBorder="1" applyProtection="1"/>
    <xf numFmtId="164" fontId="3" fillId="0" borderId="53" xfId="2" applyNumberFormat="1" applyFont="1" applyFill="1" applyBorder="1" applyProtection="1"/>
    <xf numFmtId="5" fontId="0" fillId="0" borderId="10" xfId="0" applyNumberFormat="1" applyFill="1" applyBorder="1"/>
    <xf numFmtId="5" fontId="0" fillId="0" borderId="11" xfId="0" applyNumberFormat="1" applyFill="1" applyBorder="1"/>
    <xf numFmtId="5" fontId="0" fillId="0" borderId="46" xfId="0" applyNumberFormat="1" applyFill="1" applyBorder="1" applyProtection="1"/>
    <xf numFmtId="5" fontId="0" fillId="0" borderId="4" xfId="0" applyNumberFormat="1" applyFill="1" applyBorder="1"/>
    <xf numFmtId="5" fontId="0" fillId="0" borderId="10" xfId="0" applyNumberFormat="1" applyFill="1" applyBorder="1" applyProtection="1"/>
    <xf numFmtId="5" fontId="0" fillId="0" borderId="11" xfId="0" applyNumberFormat="1" applyFill="1" applyBorder="1" applyProtection="1"/>
    <xf numFmtId="5" fontId="0" fillId="0" borderId="12" xfId="0" applyNumberFormat="1" applyFill="1" applyBorder="1"/>
    <xf numFmtId="7" fontId="0" fillId="0" borderId="13" xfId="0" applyNumberFormat="1" applyFill="1" applyBorder="1"/>
    <xf numFmtId="7" fontId="0" fillId="0" borderId="61" xfId="0" applyNumberFormat="1" applyFill="1" applyBorder="1"/>
    <xf numFmtId="164" fontId="3" fillId="0" borderId="62" xfId="2" applyNumberFormat="1" applyFont="1" applyFill="1" applyBorder="1"/>
    <xf numFmtId="164" fontId="0" fillId="0" borderId="32" xfId="2" applyNumberFormat="1" applyFont="1" applyFill="1" applyBorder="1" applyProtection="1"/>
    <xf numFmtId="164" fontId="0" fillId="0" borderId="33" xfId="2" applyNumberFormat="1" applyFont="1" applyFill="1" applyBorder="1" applyProtection="1"/>
    <xf numFmtId="164" fontId="0" fillId="0" borderId="63" xfId="2" applyNumberFormat="1" applyFont="1" applyFill="1" applyBorder="1" applyProtection="1"/>
    <xf numFmtId="164" fontId="0" fillId="0" borderId="35" xfId="2" applyNumberFormat="1" applyFont="1" applyFill="1" applyBorder="1" applyProtection="1"/>
    <xf numFmtId="164" fontId="3" fillId="0" borderId="64" xfId="2" applyNumberFormat="1" applyFont="1" applyFill="1" applyBorder="1" applyProtection="1"/>
    <xf numFmtId="0" fontId="8" fillId="0" borderId="0" xfId="0" applyFont="1" applyFill="1" applyBorder="1"/>
    <xf numFmtId="164" fontId="1" fillId="0" borderId="65" xfId="2" applyNumberFormat="1" applyFont="1" applyFill="1" applyBorder="1" applyProtection="1"/>
    <xf numFmtId="164" fontId="1" fillId="0" borderId="66" xfId="2" applyNumberFormat="1" applyFont="1" applyFill="1" applyBorder="1" applyProtection="1"/>
    <xf numFmtId="164" fontId="1" fillId="0" borderId="67" xfId="2" applyNumberFormat="1" applyFont="1" applyFill="1" applyBorder="1" applyProtection="1"/>
    <xf numFmtId="164" fontId="0" fillId="0" borderId="66" xfId="2" applyNumberFormat="1" applyFont="1" applyFill="1" applyBorder="1" applyProtection="1"/>
    <xf numFmtId="164" fontId="0" fillId="0" borderId="68" xfId="2" applyNumberFormat="1" applyFont="1" applyFill="1" applyBorder="1" applyProtection="1"/>
    <xf numFmtId="164" fontId="0" fillId="0" borderId="69" xfId="2" applyNumberFormat="1" applyFont="1" applyFill="1" applyBorder="1" applyProtection="1"/>
    <xf numFmtId="164" fontId="0" fillId="0" borderId="70" xfId="2" applyNumberFormat="1" applyFont="1" applyFill="1" applyBorder="1" applyProtection="1"/>
    <xf numFmtId="164" fontId="3" fillId="0" borderId="71" xfId="2" applyNumberFormat="1" applyFont="1" applyFill="1" applyBorder="1"/>
    <xf numFmtId="0" fontId="8" fillId="5" borderId="0" xfId="0" applyFont="1" applyFill="1" applyBorder="1"/>
    <xf numFmtId="0" fontId="4" fillId="5" borderId="0" xfId="0" applyFont="1" applyFill="1" applyBorder="1"/>
    <xf numFmtId="164" fontId="1" fillId="5" borderId="0" xfId="2" applyNumberFormat="1" applyFont="1" applyFill="1" applyBorder="1" applyProtection="1"/>
    <xf numFmtId="164" fontId="0" fillId="4" borderId="0" xfId="2" applyNumberFormat="1" applyFont="1" applyFill="1" applyBorder="1"/>
    <xf numFmtId="164" fontId="0" fillId="9" borderId="0" xfId="2" applyNumberFormat="1" applyFont="1" applyFill="1" applyBorder="1" applyProtection="1"/>
    <xf numFmtId="164" fontId="0" fillId="10" borderId="72" xfId="2" applyNumberFormat="1" applyFont="1" applyFill="1" applyBorder="1" applyProtection="1"/>
    <xf numFmtId="164" fontId="0" fillId="0" borderId="0" xfId="2" applyNumberFormat="1" applyFont="1" applyFill="1" applyBorder="1" applyProtection="1"/>
    <xf numFmtId="0" fontId="8" fillId="2" borderId="0" xfId="0" applyFont="1" applyFill="1" applyBorder="1"/>
    <xf numFmtId="0" fontId="4" fillId="2" borderId="0" xfId="0" applyFont="1" applyFill="1" applyBorder="1"/>
    <xf numFmtId="164" fontId="1" fillId="2" borderId="0" xfId="2" applyNumberFormat="1" applyFont="1" applyFill="1" applyBorder="1" applyProtection="1"/>
    <xf numFmtId="164" fontId="1" fillId="2" borderId="73" xfId="2" applyNumberFormat="1" applyFont="1" applyFill="1" applyBorder="1" applyProtection="1"/>
    <xf numFmtId="44" fontId="1" fillId="2" borderId="73" xfId="2" applyNumberFormat="1" applyFont="1" applyFill="1" applyBorder="1" applyProtection="1"/>
    <xf numFmtId="164" fontId="1" fillId="9" borderId="73" xfId="2" applyNumberFormat="1" applyFont="1" applyFill="1" applyBorder="1" applyProtection="1"/>
    <xf numFmtId="164" fontId="0" fillId="10" borderId="73" xfId="2" applyNumberFormat="1" applyFont="1" applyFill="1" applyBorder="1" applyProtection="1"/>
    <xf numFmtId="0" fontId="8" fillId="11" borderId="0" xfId="0" applyFont="1" applyFill="1" applyBorder="1"/>
    <xf numFmtId="0" fontId="4" fillId="11" borderId="0" xfId="0" applyFont="1" applyFill="1" applyBorder="1"/>
    <xf numFmtId="164" fontId="1" fillId="11" borderId="0" xfId="2" applyNumberFormat="1" applyFont="1" applyFill="1" applyBorder="1" applyProtection="1"/>
    <xf numFmtId="164" fontId="1" fillId="0" borderId="0" xfId="2" applyNumberFormat="1" applyFont="1" applyFill="1" applyBorder="1" applyProtection="1"/>
    <xf numFmtId="164" fontId="0" fillId="11" borderId="0" xfId="2" applyNumberFormat="1" applyFont="1" applyFill="1" applyBorder="1" applyProtection="1"/>
    <xf numFmtId="0" fontId="8" fillId="12" borderId="0" xfId="0" applyFont="1" applyFill="1" applyBorder="1"/>
    <xf numFmtId="0" fontId="4" fillId="12" borderId="0" xfId="0" applyFont="1" applyFill="1" applyBorder="1"/>
    <xf numFmtId="5" fontId="0" fillId="12" borderId="0" xfId="0" applyNumberFormat="1" applyFill="1" applyBorder="1" applyProtection="1"/>
    <xf numFmtId="5" fontId="0" fillId="0" borderId="0" xfId="0" applyNumberFormat="1" applyFill="1" applyBorder="1" applyProtection="1"/>
    <xf numFmtId="0" fontId="3" fillId="13" borderId="0" xfId="0" applyFont="1" applyFill="1" applyBorder="1" applyProtection="1"/>
    <xf numFmtId="0" fontId="3" fillId="13" borderId="0" xfId="0" applyFont="1" applyFill="1"/>
    <xf numFmtId="164" fontId="0" fillId="12" borderId="73" xfId="0" applyNumberFormat="1" applyFill="1" applyBorder="1" applyProtection="1"/>
    <xf numFmtId="0" fontId="0" fillId="7" borderId="0" xfId="0" applyFill="1"/>
    <xf numFmtId="44" fontId="0" fillId="0" borderId="0" xfId="0" applyNumberFormat="1" applyFill="1"/>
    <xf numFmtId="10" fontId="0" fillId="0" borderId="0" xfId="3" applyNumberFormat="1" applyFont="1" applyFill="1"/>
    <xf numFmtId="164" fontId="0" fillId="0" borderId="0" xfId="0" applyNumberFormat="1" applyFill="1" applyBorder="1" applyProtection="1"/>
    <xf numFmtId="44" fontId="0" fillId="0" borderId="0" xfId="2" applyFont="1" applyFill="1"/>
    <xf numFmtId="9" fontId="0" fillId="0" borderId="0" xfId="3" applyFont="1" applyFill="1" applyBorder="1" applyProtection="1"/>
    <xf numFmtId="166" fontId="0" fillId="0" borderId="40" xfId="2" applyNumberFormat="1" applyFont="1" applyFill="1" applyBorder="1"/>
    <xf numFmtId="167" fontId="0" fillId="0" borderId="0" xfId="2" applyNumberFormat="1" applyFont="1" applyFill="1" applyBorder="1"/>
    <xf numFmtId="7" fontId="0" fillId="0" borderId="0" xfId="0" applyNumberFormat="1" applyFill="1" applyBorder="1" applyAlignment="1" applyProtection="1">
      <alignment horizontal="center"/>
    </xf>
    <xf numFmtId="0" fontId="3" fillId="0" borderId="0" xfId="0" applyFont="1" applyFill="1"/>
    <xf numFmtId="0" fontId="0" fillId="0" borderId="74" xfId="0" applyFill="1" applyBorder="1" applyAlignment="1" applyProtection="1">
      <alignment horizontal="center"/>
    </xf>
    <xf numFmtId="7" fontId="0" fillId="0" borderId="74" xfId="0" applyNumberFormat="1" applyFill="1" applyBorder="1" applyAlignment="1" applyProtection="1">
      <alignment horizontal="center"/>
    </xf>
    <xf numFmtId="0" fontId="0" fillId="14" borderId="0" xfId="0" applyFill="1"/>
    <xf numFmtId="7" fontId="0" fillId="0" borderId="0" xfId="0" applyNumberFormat="1" applyFill="1" applyProtection="1">
      <protection locked="0"/>
    </xf>
    <xf numFmtId="7" fontId="0" fillId="14" borderId="0" xfId="0" applyNumberFormat="1" applyFill="1" applyBorder="1" applyProtection="1">
      <protection locked="0"/>
    </xf>
    <xf numFmtId="164" fontId="0" fillId="0" borderId="0" xfId="2" applyNumberFormat="1" applyFont="1" applyFill="1" applyProtection="1">
      <protection locked="0"/>
    </xf>
    <xf numFmtId="164" fontId="0" fillId="0" borderId="0" xfId="2" applyNumberFormat="1" applyFont="1" applyFill="1" applyBorder="1"/>
    <xf numFmtId="164" fontId="0" fillId="0" borderId="0" xfId="2" applyNumberFormat="1" applyFont="1" applyFill="1"/>
    <xf numFmtId="44" fontId="0" fillId="0" borderId="0" xfId="2" applyNumberFormat="1" applyFont="1" applyFill="1"/>
    <xf numFmtId="164" fontId="0" fillId="14" borderId="0" xfId="2" applyNumberFormat="1" applyFont="1" applyFill="1"/>
    <xf numFmtId="164" fontId="0" fillId="15" borderId="0" xfId="2" applyNumberFormat="1" applyFont="1" applyFill="1"/>
    <xf numFmtId="44" fontId="0" fillId="0" borderId="0" xfId="2" applyFont="1" applyFill="1" applyProtection="1">
      <protection locked="0"/>
    </xf>
    <xf numFmtId="44" fontId="0" fillId="14" borderId="0" xfId="2" applyFont="1" applyFill="1" applyBorder="1"/>
    <xf numFmtId="44" fontId="0" fillId="0" borderId="73" xfId="2" applyFont="1" applyFill="1" applyBorder="1" applyProtection="1"/>
    <xf numFmtId="44" fontId="0" fillId="14" borderId="0" xfId="2" applyFont="1" applyFill="1" applyBorder="1" applyProtection="1"/>
    <xf numFmtId="164" fontId="0" fillId="0" borderId="73" xfId="2" applyNumberFormat="1" applyFont="1" applyFill="1" applyBorder="1" applyProtection="1"/>
    <xf numFmtId="164" fontId="0" fillId="14" borderId="73" xfId="2" applyNumberFormat="1" applyFont="1" applyFill="1" applyBorder="1" applyProtection="1"/>
    <xf numFmtId="164" fontId="0" fillId="0" borderId="73" xfId="2" applyNumberFormat="1" applyFont="1" applyFill="1" applyBorder="1"/>
    <xf numFmtId="164" fontId="0" fillId="15" borderId="73" xfId="2" applyNumberFormat="1" applyFont="1" applyFill="1" applyBorder="1"/>
    <xf numFmtId="44" fontId="0" fillId="0" borderId="75" xfId="2" applyFont="1" applyFill="1" applyBorder="1"/>
    <xf numFmtId="164" fontId="0" fillId="0" borderId="75" xfId="2" applyNumberFormat="1" applyFont="1" applyFill="1" applyBorder="1"/>
    <xf numFmtId="164" fontId="0" fillId="14" borderId="75" xfId="2" applyNumberFormat="1" applyFont="1" applyFill="1" applyBorder="1"/>
    <xf numFmtId="164" fontId="0" fillId="15" borderId="75" xfId="2" applyNumberFormat="1" applyFont="1" applyFill="1" applyBorder="1"/>
    <xf numFmtId="44" fontId="0" fillId="0" borderId="0" xfId="2" applyFont="1" applyFill="1" applyBorder="1"/>
    <xf numFmtId="44" fontId="0" fillId="0" borderId="0" xfId="0" applyNumberFormat="1" applyFill="1" applyBorder="1"/>
    <xf numFmtId="0" fontId="3" fillId="0" borderId="15" xfId="0" applyFont="1" applyFill="1" applyBorder="1"/>
    <xf numFmtId="0" fontId="1" fillId="0" borderId="0" xfId="0" applyFont="1" applyFill="1" applyBorder="1"/>
    <xf numFmtId="0" fontId="0" fillId="0" borderId="0" xfId="0" applyFont="1" applyFill="1" applyBorder="1"/>
    <xf numFmtId="44" fontId="0" fillId="0" borderId="73" xfId="0" applyNumberFormat="1" applyFill="1" applyBorder="1"/>
    <xf numFmtId="44" fontId="0" fillId="0" borderId="73" xfId="2" applyFont="1" applyFill="1" applyBorder="1"/>
    <xf numFmtId="0" fontId="1" fillId="0" borderId="0" xfId="0" applyFont="1" applyFill="1"/>
    <xf numFmtId="44" fontId="0" fillId="0" borderId="40" xfId="2" applyFont="1" applyFill="1" applyBorder="1"/>
    <xf numFmtId="44" fontId="0" fillId="0" borderId="73" xfId="2" applyFont="1" applyBorder="1"/>
    <xf numFmtId="44" fontId="0" fillId="0" borderId="0" xfId="0" applyNumberFormat="1"/>
    <xf numFmtId="0" fontId="0" fillId="0" borderId="0" xfId="0" applyBorder="1"/>
    <xf numFmtId="44" fontId="0" fillId="0" borderId="27" xfId="0" applyNumberFormat="1" applyFill="1" applyBorder="1"/>
    <xf numFmtId="0" fontId="4" fillId="0" borderId="0" xfId="0" applyFont="1"/>
    <xf numFmtId="0" fontId="3" fillId="0" borderId="0" xfId="0" applyFont="1"/>
    <xf numFmtId="44" fontId="0" fillId="4" borderId="0" xfId="2" applyFont="1" applyFill="1"/>
    <xf numFmtId="0" fontId="9" fillId="0" borderId="0" xfId="4" applyFill="1" applyAlignment="1" applyProtection="1"/>
    <xf numFmtId="44" fontId="0" fillId="0" borderId="0" xfId="2" applyFont="1"/>
    <xf numFmtId="0" fontId="9" fillId="0" borderId="0" xfId="4" applyAlignment="1" applyProtection="1"/>
    <xf numFmtId="44" fontId="0" fillId="0" borderId="73" xfId="0" applyNumberFormat="1" applyBorder="1"/>
    <xf numFmtId="0" fontId="2" fillId="2" borderId="0" xfId="0" applyFont="1" applyFill="1"/>
    <xf numFmtId="44" fontId="0" fillId="16" borderId="0" xfId="2" applyFont="1" applyFill="1"/>
    <xf numFmtId="41" fontId="0" fillId="16" borderId="18" xfId="0" applyNumberFormat="1" applyFill="1" applyBorder="1" applyProtection="1">
      <protection locked="0"/>
    </xf>
    <xf numFmtId="0" fontId="0" fillId="16" borderId="1" xfId="0" applyFill="1" applyBorder="1" applyAlignment="1" applyProtection="1">
      <alignment horizontal="center"/>
    </xf>
    <xf numFmtId="0" fontId="0" fillId="16" borderId="4" xfId="0" applyFill="1" applyBorder="1" applyAlignment="1" applyProtection="1">
      <alignment horizontal="center"/>
    </xf>
    <xf numFmtId="0" fontId="4" fillId="16" borderId="7" xfId="0" applyFont="1" applyFill="1" applyBorder="1" applyAlignment="1" applyProtection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163"/>
  <sheetViews>
    <sheetView tabSelected="1" zoomScaleNormal="100" workbookViewId="0">
      <pane xSplit="2" ySplit="3" topLeftCell="D67" activePane="bottomRight" state="frozen"/>
      <selection pane="topRight" activeCell="C1" sqref="C1"/>
      <selection pane="bottomLeft" activeCell="A4" sqref="A4"/>
      <selection pane="bottomRight" activeCell="Q90" sqref="Q90"/>
    </sheetView>
  </sheetViews>
  <sheetFormatPr defaultRowHeight="12.75" x14ac:dyDescent="0.2"/>
  <cols>
    <col min="1" max="1" width="31.28515625" customWidth="1"/>
    <col min="2" max="2" width="7.42578125" customWidth="1"/>
    <col min="3" max="3" width="12.7109375" customWidth="1"/>
    <col min="4" max="5" width="13.5703125" bestFit="1" customWidth="1"/>
    <col min="6" max="6" width="12.7109375" customWidth="1"/>
    <col min="7" max="7" width="13.5703125" customWidth="1"/>
    <col min="8" max="16" width="12.7109375" customWidth="1"/>
    <col min="17" max="17" width="15.140625" customWidth="1"/>
    <col min="18" max="18" width="13.5703125" customWidth="1"/>
    <col min="19" max="19" width="13.7109375" customWidth="1"/>
    <col min="20" max="26" width="12.7109375" customWidth="1"/>
    <col min="27" max="28" width="13.7109375" customWidth="1"/>
    <col min="29" max="30" width="12.7109375" customWidth="1"/>
    <col min="31" max="32" width="13.5703125" bestFit="1" customWidth="1"/>
    <col min="33" max="33" width="14.28515625" bestFit="1" customWidth="1"/>
    <col min="34" max="34" width="3.42578125" customWidth="1"/>
    <col min="36" max="36" width="8.5703125" customWidth="1"/>
  </cols>
  <sheetData>
    <row r="1" spans="1:35" ht="13.5" thickTop="1" x14ac:dyDescent="0.2">
      <c r="A1" s="275" t="s">
        <v>190</v>
      </c>
      <c r="B1" s="2"/>
      <c r="C1" s="3" t="s">
        <v>0</v>
      </c>
      <c r="D1" s="4" t="s">
        <v>1</v>
      </c>
      <c r="E1" s="3" t="s">
        <v>2</v>
      </c>
      <c r="F1" s="5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11</v>
      </c>
      <c r="P1" s="3" t="s">
        <v>11</v>
      </c>
      <c r="Q1" s="278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22</v>
      </c>
      <c r="AC1" s="3" t="s">
        <v>23</v>
      </c>
      <c r="AD1" s="5" t="s">
        <v>24</v>
      </c>
      <c r="AE1" s="5" t="s">
        <v>25</v>
      </c>
      <c r="AF1" s="6" t="s">
        <v>26</v>
      </c>
      <c r="AG1" s="7" t="s">
        <v>27</v>
      </c>
      <c r="AH1" s="8"/>
      <c r="AI1" s="9" t="s">
        <v>28</v>
      </c>
    </row>
    <row r="2" spans="1:35" x14ac:dyDescent="0.2">
      <c r="A2" s="1"/>
      <c r="B2" s="10"/>
      <c r="C2" s="11" t="s">
        <v>29</v>
      </c>
      <c r="D2" s="12"/>
      <c r="E2" s="11"/>
      <c r="F2" s="13" t="s">
        <v>30</v>
      </c>
      <c r="G2" s="11" t="s">
        <v>31</v>
      </c>
      <c r="H2" s="11" t="s">
        <v>31</v>
      </c>
      <c r="I2" s="11" t="s">
        <v>31</v>
      </c>
      <c r="J2" s="11" t="s">
        <v>31</v>
      </c>
      <c r="K2" s="11" t="s">
        <v>31</v>
      </c>
      <c r="L2" s="11" t="s">
        <v>31</v>
      </c>
      <c r="M2" s="11" t="s">
        <v>32</v>
      </c>
      <c r="N2" s="11" t="s">
        <v>33</v>
      </c>
      <c r="O2" s="11" t="s">
        <v>5</v>
      </c>
      <c r="P2" s="11" t="s">
        <v>6</v>
      </c>
      <c r="Q2" s="279" t="s">
        <v>34</v>
      </c>
      <c r="R2" s="11" t="s">
        <v>35</v>
      </c>
      <c r="S2" s="11" t="s">
        <v>36</v>
      </c>
      <c r="T2" s="11" t="s">
        <v>37</v>
      </c>
      <c r="U2" s="11" t="s">
        <v>38</v>
      </c>
      <c r="V2" s="11" t="s">
        <v>39</v>
      </c>
      <c r="W2" s="11" t="s">
        <v>40</v>
      </c>
      <c r="X2" s="11" t="s">
        <v>41</v>
      </c>
      <c r="Y2" s="11" t="s">
        <v>42</v>
      </c>
      <c r="Z2" s="11" t="s">
        <v>43</v>
      </c>
      <c r="AA2" s="11" t="s">
        <v>44</v>
      </c>
      <c r="AB2" s="11" t="s">
        <v>45</v>
      </c>
      <c r="AC2" s="11" t="s">
        <v>46</v>
      </c>
      <c r="AD2" s="13" t="s">
        <v>30</v>
      </c>
      <c r="AE2" s="13" t="s">
        <v>47</v>
      </c>
      <c r="AF2" s="14" t="s">
        <v>48</v>
      </c>
      <c r="AG2" s="15" t="s">
        <v>49</v>
      </c>
      <c r="AH2" s="8"/>
    </row>
    <row r="3" spans="1:35" ht="13.5" thickBot="1" x14ac:dyDescent="0.25">
      <c r="A3" s="8"/>
      <c r="B3" s="16" t="s">
        <v>50</v>
      </c>
      <c r="C3" s="17" t="s">
        <v>51</v>
      </c>
      <c r="D3" s="18" t="s">
        <v>1</v>
      </c>
      <c r="E3" s="17" t="s">
        <v>2</v>
      </c>
      <c r="F3" s="19"/>
      <c r="G3" s="17" t="s">
        <v>52</v>
      </c>
      <c r="H3" s="17" t="s">
        <v>52</v>
      </c>
      <c r="I3" s="17" t="s">
        <v>52</v>
      </c>
      <c r="J3" s="17" t="s">
        <v>52</v>
      </c>
      <c r="K3" s="17" t="s">
        <v>52</v>
      </c>
      <c r="L3" s="17" t="s">
        <v>52</v>
      </c>
      <c r="M3" s="17" t="s">
        <v>32</v>
      </c>
      <c r="N3" s="17" t="s">
        <v>53</v>
      </c>
      <c r="O3" s="17" t="s">
        <v>53</v>
      </c>
      <c r="P3" s="17" t="s">
        <v>53</v>
      </c>
      <c r="Q3" s="280" t="s">
        <v>53</v>
      </c>
      <c r="R3" s="17" t="s">
        <v>37</v>
      </c>
      <c r="S3" s="17" t="s">
        <v>37</v>
      </c>
      <c r="T3" s="17" t="s">
        <v>37</v>
      </c>
      <c r="U3" s="17" t="s">
        <v>37</v>
      </c>
      <c r="V3" s="17" t="s">
        <v>37</v>
      </c>
      <c r="W3" s="17" t="s">
        <v>37</v>
      </c>
      <c r="X3" s="17" t="s">
        <v>41</v>
      </c>
      <c r="Y3" s="17" t="s">
        <v>41</v>
      </c>
      <c r="Z3" s="17" t="s">
        <v>41</v>
      </c>
      <c r="AA3" s="17" t="s">
        <v>41</v>
      </c>
      <c r="AB3" s="17" t="s">
        <v>41</v>
      </c>
      <c r="AC3" s="17" t="s">
        <v>41</v>
      </c>
      <c r="AD3" s="19"/>
      <c r="AE3" s="19"/>
      <c r="AF3" s="20" t="s">
        <v>47</v>
      </c>
      <c r="AG3" s="21" t="s">
        <v>54</v>
      </c>
      <c r="AH3" s="8"/>
    </row>
    <row r="4" spans="1:35" ht="9.75" customHeight="1" x14ac:dyDescent="0.2">
      <c r="A4" s="8"/>
      <c r="B4" s="22"/>
      <c r="C4" s="23"/>
      <c r="D4" s="24"/>
      <c r="E4" s="25"/>
      <c r="F4" s="11"/>
      <c r="G4" s="23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6"/>
      <c r="AE4" s="27"/>
      <c r="AF4" s="28"/>
      <c r="AG4" s="29"/>
      <c r="AH4" s="8"/>
    </row>
    <row r="5" spans="1:35" x14ac:dyDescent="0.2">
      <c r="A5" s="30" t="s">
        <v>55</v>
      </c>
      <c r="B5" s="16" t="s">
        <v>56</v>
      </c>
      <c r="C5" s="31"/>
      <c r="D5" s="32"/>
      <c r="E5" s="33"/>
      <c r="F5" s="10"/>
      <c r="G5" s="34"/>
      <c r="H5" s="35"/>
      <c r="I5" s="35"/>
      <c r="J5" s="35"/>
      <c r="K5" s="35"/>
      <c r="L5" s="35"/>
      <c r="M5" s="32"/>
      <c r="N5" s="35"/>
      <c r="O5" s="35"/>
      <c r="P5" s="35"/>
      <c r="Q5" s="35"/>
      <c r="R5" s="32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6"/>
      <c r="AE5" s="37"/>
      <c r="AF5" s="37"/>
      <c r="AG5" s="38"/>
      <c r="AH5" s="8"/>
    </row>
    <row r="6" spans="1:35" x14ac:dyDescent="0.2">
      <c r="A6" s="39" t="s">
        <v>57</v>
      </c>
      <c r="B6" s="40"/>
      <c r="C6" s="41"/>
      <c r="D6" s="42">
        <f>D99</f>
        <v>197200</v>
      </c>
      <c r="E6" s="43">
        <f>E122+E132</f>
        <v>198895</v>
      </c>
      <c r="F6" s="44">
        <f t="shared" ref="F6:F11" si="0">SUM(C6:E6)</f>
        <v>396095</v>
      </c>
      <c r="G6" s="45"/>
      <c r="H6" s="46"/>
      <c r="I6" s="46"/>
      <c r="J6" s="46"/>
      <c r="K6" s="46"/>
      <c r="L6" s="46"/>
      <c r="M6" s="46"/>
      <c r="N6" s="46"/>
      <c r="O6" s="46"/>
      <c r="P6" s="46"/>
      <c r="Q6" s="46"/>
      <c r="R6" s="42">
        <v>48500</v>
      </c>
      <c r="S6" s="47">
        <f>S113</f>
        <v>40000</v>
      </c>
      <c r="T6" s="46"/>
      <c r="U6" s="46"/>
      <c r="V6" s="46"/>
      <c r="W6" s="46">
        <v>10000</v>
      </c>
      <c r="X6" s="46"/>
      <c r="Y6" s="46"/>
      <c r="Z6" s="46"/>
      <c r="AA6" s="46"/>
      <c r="AB6" s="46"/>
      <c r="AC6" s="46"/>
      <c r="AD6" s="48">
        <f t="shared" ref="AD6:AD11" si="1">SUM(G6:AC6)</f>
        <v>98500</v>
      </c>
      <c r="AE6" s="49">
        <f t="shared" ref="AE6:AE11" si="2">F6+AD6</f>
        <v>494595</v>
      </c>
      <c r="AF6" s="49">
        <v>477500</v>
      </c>
      <c r="AG6" s="50">
        <v>395800</v>
      </c>
      <c r="AH6" s="8"/>
    </row>
    <row r="7" spans="1:35" x14ac:dyDescent="0.2">
      <c r="A7" s="51" t="s">
        <v>58</v>
      </c>
      <c r="B7" s="52"/>
      <c r="C7" s="41"/>
      <c r="D7" s="46"/>
      <c r="E7" s="53"/>
      <c r="F7" s="44">
        <f t="shared" si="0"/>
        <v>0</v>
      </c>
      <c r="G7" s="45">
        <v>31900</v>
      </c>
      <c r="H7" s="46">
        <v>12900</v>
      </c>
      <c r="I7" s="46">
        <v>6000</v>
      </c>
      <c r="J7" s="46"/>
      <c r="K7" s="46"/>
      <c r="L7" s="46"/>
      <c r="M7" s="42">
        <f>M94</f>
        <v>240000</v>
      </c>
      <c r="N7" s="46">
        <v>3500</v>
      </c>
      <c r="O7" s="46"/>
      <c r="P7" s="46">
        <v>0</v>
      </c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>
        <v>5000</v>
      </c>
      <c r="AD7" s="48">
        <f t="shared" si="1"/>
        <v>299300</v>
      </c>
      <c r="AE7" s="54">
        <f t="shared" si="2"/>
        <v>299300</v>
      </c>
      <c r="AF7" s="55">
        <v>297740</v>
      </c>
      <c r="AG7" s="56">
        <v>429748.87</v>
      </c>
      <c r="AH7" s="8"/>
    </row>
    <row r="8" spans="1:35" x14ac:dyDescent="0.2">
      <c r="A8" s="51" t="s">
        <v>59</v>
      </c>
      <c r="B8" s="52"/>
      <c r="C8" s="41"/>
      <c r="D8" s="57">
        <f>-AD8-E8</f>
        <v>22185</v>
      </c>
      <c r="E8" s="53"/>
      <c r="F8" s="58">
        <f t="shared" si="0"/>
        <v>22185</v>
      </c>
      <c r="G8" s="59">
        <f>-G7*0.075</f>
        <v>-2392.5</v>
      </c>
      <c r="H8" s="59">
        <f>-H7*0.075</f>
        <v>-967.5</v>
      </c>
      <c r="I8" s="59">
        <f>-I7*0.075</f>
        <v>-450</v>
      </c>
      <c r="J8" s="46"/>
      <c r="K8" s="46"/>
      <c r="L8" s="46"/>
      <c r="M8" s="59">
        <f>-M7*0.075</f>
        <v>-18000</v>
      </c>
      <c r="N8" s="46"/>
      <c r="O8" s="46"/>
      <c r="P8" s="46"/>
      <c r="Q8" s="46"/>
      <c r="R8" s="60"/>
      <c r="S8" s="46"/>
      <c r="T8" s="46"/>
      <c r="U8" s="46"/>
      <c r="V8" s="46"/>
      <c r="W8" s="46"/>
      <c r="X8" s="46"/>
      <c r="Y8" s="46"/>
      <c r="Z8" s="59">
        <f>-Z7*0.075</f>
        <v>0</v>
      </c>
      <c r="AA8" s="60"/>
      <c r="AB8" s="46"/>
      <c r="AC8" s="59">
        <f>-AC7*0.075</f>
        <v>-375</v>
      </c>
      <c r="AD8" s="48">
        <f t="shared" si="1"/>
        <v>-22185</v>
      </c>
      <c r="AE8" s="54">
        <f t="shared" si="2"/>
        <v>0</v>
      </c>
      <c r="AF8" s="55">
        <v>0</v>
      </c>
      <c r="AG8" s="56"/>
      <c r="AH8" s="8"/>
    </row>
    <row r="9" spans="1:35" x14ac:dyDescent="0.2">
      <c r="A9" s="51" t="s">
        <v>60</v>
      </c>
      <c r="B9" s="52"/>
      <c r="C9" s="61"/>
      <c r="D9" s="62"/>
      <c r="E9" s="53"/>
      <c r="F9" s="44">
        <f t="shared" si="0"/>
        <v>0</v>
      </c>
      <c r="G9" s="63">
        <f t="shared" ref="G9:S9" si="3">G72</f>
        <v>30011.600000000002</v>
      </c>
      <c r="H9" s="42">
        <f t="shared" si="3"/>
        <v>8293.9500000000007</v>
      </c>
      <c r="I9" s="42">
        <f t="shared" si="3"/>
        <v>10808.900000000001</v>
      </c>
      <c r="J9" s="42">
        <f t="shared" si="3"/>
        <v>691.4475000000001</v>
      </c>
      <c r="K9" s="42">
        <f t="shared" si="3"/>
        <v>15324.940500000001</v>
      </c>
      <c r="L9" s="42">
        <f t="shared" si="3"/>
        <v>2000</v>
      </c>
      <c r="M9" s="42">
        <f t="shared" si="3"/>
        <v>13757.150000000001</v>
      </c>
      <c r="N9" s="42">
        <f t="shared" si="3"/>
        <v>264.26550000000003</v>
      </c>
      <c r="O9" s="42">
        <f t="shared" si="3"/>
        <v>19.2195</v>
      </c>
      <c r="P9" s="42">
        <f t="shared" si="3"/>
        <v>15.015000000000001</v>
      </c>
      <c r="Q9" s="42">
        <f t="shared" si="3"/>
        <v>1002.4000000000001</v>
      </c>
      <c r="R9" s="42">
        <f t="shared" si="3"/>
        <v>56958.138000000006</v>
      </c>
      <c r="S9" s="42">
        <f t="shared" si="3"/>
        <v>9709.5655000000006</v>
      </c>
      <c r="T9" s="46"/>
      <c r="U9" s="42">
        <f>U72</f>
        <v>370</v>
      </c>
      <c r="V9" s="42">
        <f>V72</f>
        <v>71.64800000000001</v>
      </c>
      <c r="W9" s="46"/>
      <c r="X9" s="46"/>
      <c r="Y9" s="42">
        <f>Y72</f>
        <v>0</v>
      </c>
      <c r="Z9" s="42">
        <f>Z72</f>
        <v>717.35</v>
      </c>
      <c r="AA9" s="42">
        <f>AA72</f>
        <v>4630.7</v>
      </c>
      <c r="AB9" s="42">
        <f>AB72</f>
        <v>4701.8</v>
      </c>
      <c r="AC9" s="46"/>
      <c r="AD9" s="64">
        <f t="shared" si="1"/>
        <v>159348.0895</v>
      </c>
      <c r="AE9" s="54">
        <f t="shared" si="2"/>
        <v>159348.0895</v>
      </c>
      <c r="AF9" s="55">
        <v>157681.2015</v>
      </c>
      <c r="AG9" s="56">
        <v>25092.36</v>
      </c>
      <c r="AH9" s="8"/>
    </row>
    <row r="10" spans="1:35" x14ac:dyDescent="0.2">
      <c r="A10" s="39" t="s">
        <v>61</v>
      </c>
      <c r="B10" s="40"/>
      <c r="C10" s="41"/>
      <c r="D10" s="46"/>
      <c r="E10" s="53"/>
      <c r="F10" s="44">
        <f t="shared" si="0"/>
        <v>0</v>
      </c>
      <c r="G10" s="45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8">
        <f t="shared" si="1"/>
        <v>0</v>
      </c>
      <c r="AE10" s="54">
        <f t="shared" si="2"/>
        <v>0</v>
      </c>
      <c r="AF10" s="55">
        <v>0</v>
      </c>
      <c r="AG10" s="56">
        <v>61626.33</v>
      </c>
      <c r="AH10" s="8"/>
    </row>
    <row r="11" spans="1:35" x14ac:dyDescent="0.2">
      <c r="A11" s="65" t="s">
        <v>62</v>
      </c>
      <c r="B11" s="66"/>
      <c r="C11" s="67"/>
      <c r="D11" s="68"/>
      <c r="E11" s="69">
        <f>E136</f>
        <v>990</v>
      </c>
      <c r="F11" s="44">
        <f t="shared" si="0"/>
        <v>990</v>
      </c>
      <c r="G11" s="70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71">
        <f t="shared" si="1"/>
        <v>0</v>
      </c>
      <c r="AE11" s="72">
        <f t="shared" si="2"/>
        <v>990</v>
      </c>
      <c r="AF11" s="55">
        <v>3930</v>
      </c>
      <c r="AG11" s="56">
        <v>6078.02</v>
      </c>
      <c r="AH11" s="8"/>
    </row>
    <row r="12" spans="1:35" ht="13.5" thickBot="1" x14ac:dyDescent="0.25">
      <c r="A12" s="30" t="s">
        <v>63</v>
      </c>
      <c r="B12" s="16"/>
      <c r="C12" s="73">
        <f t="shared" ref="C12:AE12" si="4">SUM(C6:C11)</f>
        <v>0</v>
      </c>
      <c r="D12" s="74">
        <f t="shared" si="4"/>
        <v>219385</v>
      </c>
      <c r="E12" s="75">
        <f t="shared" si="4"/>
        <v>199885</v>
      </c>
      <c r="F12" s="76">
        <f t="shared" si="4"/>
        <v>419270</v>
      </c>
      <c r="G12" s="73">
        <f t="shared" si="4"/>
        <v>59519.100000000006</v>
      </c>
      <c r="H12" s="74">
        <f t="shared" si="4"/>
        <v>20226.45</v>
      </c>
      <c r="I12" s="74">
        <f t="shared" si="4"/>
        <v>16358.900000000001</v>
      </c>
      <c r="J12" s="74">
        <f t="shared" si="4"/>
        <v>691.4475000000001</v>
      </c>
      <c r="K12" s="74">
        <f t="shared" si="4"/>
        <v>15324.940500000001</v>
      </c>
      <c r="L12" s="74">
        <f t="shared" si="4"/>
        <v>2000</v>
      </c>
      <c r="M12" s="74">
        <f t="shared" si="4"/>
        <v>235757.15</v>
      </c>
      <c r="N12" s="74">
        <f t="shared" si="4"/>
        <v>3764.2655</v>
      </c>
      <c r="O12" s="74">
        <f t="shared" si="4"/>
        <v>19.2195</v>
      </c>
      <c r="P12" s="74">
        <f t="shared" si="4"/>
        <v>15.015000000000001</v>
      </c>
      <c r="Q12" s="74">
        <f t="shared" si="4"/>
        <v>1002.4000000000001</v>
      </c>
      <c r="R12" s="74">
        <f t="shared" si="4"/>
        <v>105458.13800000001</v>
      </c>
      <c r="S12" s="74">
        <f t="shared" si="4"/>
        <v>49709.565499999997</v>
      </c>
      <c r="T12" s="74">
        <f t="shared" si="4"/>
        <v>0</v>
      </c>
      <c r="U12" s="74">
        <f t="shared" si="4"/>
        <v>370</v>
      </c>
      <c r="V12" s="74">
        <f t="shared" si="4"/>
        <v>71.64800000000001</v>
      </c>
      <c r="W12" s="74">
        <f t="shared" si="4"/>
        <v>10000</v>
      </c>
      <c r="X12" s="74">
        <f t="shared" si="4"/>
        <v>0</v>
      </c>
      <c r="Y12" s="74">
        <f t="shared" si="4"/>
        <v>0</v>
      </c>
      <c r="Z12" s="74">
        <f t="shared" si="4"/>
        <v>717.35</v>
      </c>
      <c r="AA12" s="74">
        <f t="shared" si="4"/>
        <v>4630.7</v>
      </c>
      <c r="AB12" s="74">
        <f t="shared" si="4"/>
        <v>4701.8</v>
      </c>
      <c r="AC12" s="74">
        <f t="shared" si="4"/>
        <v>4625</v>
      </c>
      <c r="AD12" s="77">
        <f t="shared" si="4"/>
        <v>534963.0895</v>
      </c>
      <c r="AE12" s="78">
        <f t="shared" si="4"/>
        <v>954233.0895</v>
      </c>
      <c r="AF12" s="79">
        <v>936851.20149999997</v>
      </c>
      <c r="AG12" s="80">
        <f>SUM(AG6:AG11)</f>
        <v>918345.58</v>
      </c>
      <c r="AH12" s="8"/>
    </row>
    <row r="13" spans="1:35" ht="14.25" thickTop="1" thickBot="1" x14ac:dyDescent="0.25">
      <c r="A13" s="81" t="s">
        <v>64</v>
      </c>
      <c r="B13" s="82"/>
      <c r="C13" s="83">
        <v>0</v>
      </c>
      <c r="D13" s="84">
        <f>D12</f>
        <v>219385</v>
      </c>
      <c r="E13" s="85">
        <f>E6+E8+E11</f>
        <v>199885</v>
      </c>
      <c r="F13" s="86">
        <f>SUM(C13:E13)</f>
        <v>419270</v>
      </c>
      <c r="G13" s="83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>
        <f>R12</f>
        <v>105458.13800000001</v>
      </c>
      <c r="S13" s="84">
        <f>S12</f>
        <v>49709.565499999997</v>
      </c>
      <c r="T13" s="84"/>
      <c r="U13" s="84"/>
      <c r="V13" s="84"/>
      <c r="W13" s="84">
        <f>W6</f>
        <v>10000</v>
      </c>
      <c r="X13" s="84"/>
      <c r="Y13" s="84"/>
      <c r="Z13" s="84"/>
      <c r="AA13" s="84"/>
      <c r="AB13" s="84"/>
      <c r="AC13" s="84"/>
      <c r="AD13" s="87">
        <f>SUM(G13:AC13)</f>
        <v>165167.7035</v>
      </c>
      <c r="AE13" s="88">
        <f>F13+AD13</f>
        <v>584437.70350000006</v>
      </c>
      <c r="AF13" s="89">
        <v>570165.70350000006</v>
      </c>
      <c r="AG13" s="90">
        <f>AG6+AG9+AG10+AG11</f>
        <v>488596.71</v>
      </c>
      <c r="AH13" s="8"/>
    </row>
    <row r="14" spans="1:35" ht="7.5" customHeight="1" thickTop="1" x14ac:dyDescent="0.2">
      <c r="A14" s="91"/>
      <c r="B14" s="10"/>
      <c r="C14" s="34"/>
      <c r="D14" s="35"/>
      <c r="E14" s="92"/>
      <c r="F14" s="93"/>
      <c r="G14" s="34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94"/>
      <c r="AE14" s="95"/>
      <c r="AF14" s="96"/>
      <c r="AG14" s="97"/>
      <c r="AH14" s="8"/>
    </row>
    <row r="15" spans="1:35" x14ac:dyDescent="0.2">
      <c r="A15" s="30" t="s">
        <v>65</v>
      </c>
      <c r="B15" s="16"/>
      <c r="C15" s="98"/>
      <c r="D15" s="99"/>
      <c r="E15" s="100"/>
      <c r="F15" s="101"/>
      <c r="G15" s="102"/>
      <c r="H15" s="103"/>
      <c r="I15" s="103"/>
      <c r="J15" s="103"/>
      <c r="K15" s="103"/>
      <c r="L15" s="103"/>
      <c r="M15" s="99"/>
      <c r="N15" s="103"/>
      <c r="O15" s="103"/>
      <c r="P15" s="103"/>
      <c r="Q15" s="103"/>
      <c r="R15" s="99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4"/>
      <c r="AE15" s="105"/>
      <c r="AF15" s="105"/>
      <c r="AG15" s="106"/>
      <c r="AH15" s="8"/>
      <c r="AI15" s="8"/>
    </row>
    <row r="16" spans="1:35" s="8" customFormat="1" x14ac:dyDescent="0.2">
      <c r="A16" s="39" t="s">
        <v>66</v>
      </c>
      <c r="B16" s="40">
        <v>51500</v>
      </c>
      <c r="C16" s="61">
        <v>13800</v>
      </c>
      <c r="D16" s="107"/>
      <c r="E16" s="108"/>
      <c r="F16" s="109">
        <f t="shared" ref="F16:F22" si="5">SUM(C16:E16)</f>
        <v>13800</v>
      </c>
      <c r="G16" s="61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10"/>
      <c r="AB16" s="110"/>
      <c r="AC16" s="110"/>
      <c r="AD16" s="111">
        <f t="shared" ref="AD16:AD45" si="6">SUM(G16:AC16)</f>
        <v>0</v>
      </c>
      <c r="AE16" s="112">
        <f>F16+AD16</f>
        <v>13800</v>
      </c>
      <c r="AF16" s="112">
        <v>13200</v>
      </c>
      <c r="AG16" s="113">
        <v>13300</v>
      </c>
    </row>
    <row r="17" spans="1:34" s="8" customFormat="1" x14ac:dyDescent="0.2">
      <c r="A17" s="39" t="s">
        <v>37</v>
      </c>
      <c r="B17" s="40">
        <v>52000</v>
      </c>
      <c r="C17" s="61">
        <v>250</v>
      </c>
      <c r="D17" s="114">
        <f>D156</f>
        <v>2000</v>
      </c>
      <c r="E17" s="108">
        <v>1500</v>
      </c>
      <c r="F17" s="109">
        <f t="shared" si="5"/>
        <v>3750</v>
      </c>
      <c r="G17" s="61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14">
        <f>R110</f>
        <v>2937.6</v>
      </c>
      <c r="S17" s="114">
        <f>S6/150*25</f>
        <v>6666.666666666667</v>
      </c>
      <c r="T17" s="107">
        <v>50</v>
      </c>
      <c r="U17" s="107">
        <v>50</v>
      </c>
      <c r="V17" s="107">
        <v>50</v>
      </c>
      <c r="W17" s="115">
        <f>W6/40*16.5</f>
        <v>4125</v>
      </c>
      <c r="X17" s="107"/>
      <c r="Y17" s="107"/>
      <c r="Z17" s="107">
        <v>50</v>
      </c>
      <c r="AA17" s="110"/>
      <c r="AB17" s="110"/>
      <c r="AC17" s="110"/>
      <c r="AD17" s="111">
        <f t="shared" si="6"/>
        <v>13929.266666666666</v>
      </c>
      <c r="AE17" s="112">
        <f>F17+AD17</f>
        <v>17679.266666666666</v>
      </c>
      <c r="AF17" s="112">
        <v>17075</v>
      </c>
      <c r="AG17" s="113">
        <v>19736</v>
      </c>
    </row>
    <row r="18" spans="1:34" s="8" customFormat="1" x14ac:dyDescent="0.2">
      <c r="A18" s="39" t="s">
        <v>67</v>
      </c>
      <c r="B18" s="40">
        <v>52500</v>
      </c>
      <c r="C18" s="61">
        <v>100</v>
      </c>
      <c r="D18" s="107"/>
      <c r="E18" s="108"/>
      <c r="F18" s="109">
        <f t="shared" si="5"/>
        <v>100</v>
      </c>
      <c r="G18" s="61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10"/>
      <c r="AB18" s="110"/>
      <c r="AC18" s="110"/>
      <c r="AD18" s="111">
        <f t="shared" si="6"/>
        <v>0</v>
      </c>
      <c r="AE18" s="112">
        <f>F18+AD18</f>
        <v>100</v>
      </c>
      <c r="AF18" s="112">
        <v>100</v>
      </c>
      <c r="AG18" s="56">
        <v>2</v>
      </c>
    </row>
    <row r="19" spans="1:34" s="8" customFormat="1" x14ac:dyDescent="0.2">
      <c r="A19" s="39" t="s">
        <v>68</v>
      </c>
      <c r="B19" s="40">
        <v>53000</v>
      </c>
      <c r="C19" s="61"/>
      <c r="D19" s="107">
        <v>200</v>
      </c>
      <c r="E19" s="108"/>
      <c r="F19" s="109">
        <f t="shared" si="5"/>
        <v>200</v>
      </c>
      <c r="G19" s="61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>
        <v>225</v>
      </c>
      <c r="T19" s="107"/>
      <c r="U19" s="107"/>
      <c r="V19" s="107"/>
      <c r="W19" s="107"/>
      <c r="X19" s="107"/>
      <c r="Y19" s="107"/>
      <c r="Z19" s="107"/>
      <c r="AA19" s="110"/>
      <c r="AB19" s="110"/>
      <c r="AC19" s="110"/>
      <c r="AD19" s="111">
        <f t="shared" si="6"/>
        <v>225</v>
      </c>
      <c r="AE19" s="112">
        <f>F19+AD19</f>
        <v>425</v>
      </c>
      <c r="AF19" s="112">
        <v>550</v>
      </c>
      <c r="AG19" s="56">
        <v>438</v>
      </c>
    </row>
    <row r="20" spans="1:34" x14ac:dyDescent="0.2">
      <c r="A20" s="116" t="s">
        <v>69</v>
      </c>
      <c r="B20" s="117">
        <v>54000</v>
      </c>
      <c r="C20" s="118">
        <f>+AE20-AD20-SUM(D20:E20)</f>
        <v>1036.5501953405151</v>
      </c>
      <c r="D20" s="119">
        <f>SUM(D43:D45)/SUM($AE$43:$AE$45)*$AE$20</f>
        <v>1847.5456186234867</v>
      </c>
      <c r="E20" s="119">
        <f>SUM(E43:E45)/SUM($AE$43:$AE$45)*$AE$20</f>
        <v>355.13876799585393</v>
      </c>
      <c r="F20" s="120">
        <f t="shared" si="5"/>
        <v>3239.2345819598554</v>
      </c>
      <c r="G20" s="119">
        <f t="shared" ref="G20:X20" si="7">SUM(G43:G45)/SUM($AE$43:$AE$45)*$AE$20</f>
        <v>1363.1821219773294</v>
      </c>
      <c r="H20" s="119">
        <f t="shared" si="7"/>
        <v>376.72831976220465</v>
      </c>
      <c r="I20" s="119">
        <f t="shared" si="7"/>
        <v>490.95659353203848</v>
      </c>
      <c r="J20" s="119">
        <f t="shared" si="7"/>
        <v>19.568734610494094</v>
      </c>
      <c r="K20" s="119">
        <f t="shared" si="7"/>
        <v>0</v>
      </c>
      <c r="L20" s="119">
        <f t="shared" si="7"/>
        <v>32.448156392934841</v>
      </c>
      <c r="M20" s="119">
        <f t="shared" si="7"/>
        <v>6749.6265389505907</v>
      </c>
      <c r="N20" s="119">
        <f t="shared" si="7"/>
        <v>415.30175423795208</v>
      </c>
      <c r="O20" s="119">
        <f t="shared" si="7"/>
        <v>207.65087711897604</v>
      </c>
      <c r="P20" s="119">
        <f t="shared" si="7"/>
        <v>207.65087711897604</v>
      </c>
      <c r="Q20" s="119">
        <f t="shared" si="7"/>
        <v>39.574999999999996</v>
      </c>
      <c r="R20" s="119">
        <f t="shared" si="7"/>
        <v>414.10931234595432</v>
      </c>
      <c r="S20" s="119">
        <f t="shared" si="7"/>
        <v>414.10931234595432</v>
      </c>
      <c r="T20" s="119">
        <f t="shared" si="7"/>
        <v>79.149999999999991</v>
      </c>
      <c r="U20" s="119">
        <f t="shared" si="7"/>
        <v>79.149999999999991</v>
      </c>
      <c r="V20" s="119">
        <f t="shared" si="7"/>
        <v>79.149999999999991</v>
      </c>
      <c r="W20" s="119">
        <f t="shared" si="7"/>
        <v>356.00781964674189</v>
      </c>
      <c r="X20" s="119">
        <f t="shared" si="7"/>
        <v>791.49999999999989</v>
      </c>
      <c r="Y20" s="119"/>
      <c r="Z20" s="119">
        <f>SUM(Z43:Z45)/SUM($AE$43:$AE$45)*$AE$20</f>
        <v>79.149999999999991</v>
      </c>
      <c r="AA20" s="119">
        <f>SUM(AA43:AA45)/SUM($AE$43:$AE$45)*$AE$20</f>
        <v>158.29999999999998</v>
      </c>
      <c r="AB20" s="119">
        <f>SUM(AB43:AB45)/SUM($AE$43:$AE$45)*$AE$20</f>
        <v>79.149999999999991</v>
      </c>
      <c r="AC20" s="119">
        <f>SUM(AC43:AC45)/SUM($AE$43:$AE$45)*$AE$20</f>
        <v>158.29999999999998</v>
      </c>
      <c r="AD20" s="121">
        <f t="shared" si="6"/>
        <v>12590.765418040144</v>
      </c>
      <c r="AE20" s="122">
        <v>15830</v>
      </c>
      <c r="AF20" s="122">
        <v>14000</v>
      </c>
      <c r="AG20" s="56">
        <v>14725</v>
      </c>
      <c r="AH20" s="8"/>
    </row>
    <row r="21" spans="1:34" s="8" customFormat="1" x14ac:dyDescent="0.2">
      <c r="A21" s="39" t="s">
        <v>70</v>
      </c>
      <c r="B21" s="40">
        <v>55000</v>
      </c>
      <c r="C21" s="123">
        <v>6000</v>
      </c>
      <c r="D21" s="124">
        <f>D104</f>
        <v>2500</v>
      </c>
      <c r="E21" s="125"/>
      <c r="F21" s="109">
        <f t="shared" si="5"/>
        <v>8500</v>
      </c>
      <c r="G21" s="126"/>
      <c r="H21" s="127"/>
      <c r="I21" s="127"/>
      <c r="J21" s="127"/>
      <c r="K21" s="127"/>
      <c r="L21" s="127"/>
      <c r="M21" s="127">
        <v>750</v>
      </c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11">
        <f t="shared" si="6"/>
        <v>750</v>
      </c>
      <c r="AE21" s="112">
        <f>F21+AD21</f>
        <v>9250</v>
      </c>
      <c r="AF21" s="112">
        <v>9000</v>
      </c>
      <c r="AG21" s="56">
        <v>11787</v>
      </c>
    </row>
    <row r="22" spans="1:34" s="8" customFormat="1" x14ac:dyDescent="0.2">
      <c r="A22" s="39" t="s">
        <v>71</v>
      </c>
      <c r="B22" s="40">
        <v>56000</v>
      </c>
      <c r="C22" s="128">
        <f>C82</f>
        <v>13250</v>
      </c>
      <c r="D22" s="107">
        <v>6500</v>
      </c>
      <c r="E22" s="108">
        <v>0</v>
      </c>
      <c r="F22" s="109">
        <f t="shared" si="5"/>
        <v>19750</v>
      </c>
      <c r="G22" s="61">
        <v>611.05438419854033</v>
      </c>
      <c r="H22" s="107">
        <v>168.86985398390902</v>
      </c>
      <c r="I22" s="107">
        <v>220.07576181755064</v>
      </c>
      <c r="J22" s="107"/>
      <c r="K22" s="107"/>
      <c r="L22" s="107"/>
      <c r="M22" s="107">
        <v>1000</v>
      </c>
      <c r="N22" s="129">
        <v>4350</v>
      </c>
      <c r="O22" s="107">
        <v>3000</v>
      </c>
      <c r="P22" s="107">
        <v>1000</v>
      </c>
      <c r="Q22" s="107"/>
      <c r="R22" s="107">
        <v>7000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11">
        <f t="shared" si="6"/>
        <v>17350</v>
      </c>
      <c r="AE22" s="112">
        <f>F22+AD22</f>
        <v>37100</v>
      </c>
      <c r="AF22" s="112">
        <v>32300</v>
      </c>
      <c r="AG22" s="56">
        <v>26429</v>
      </c>
    </row>
    <row r="23" spans="1:34" s="8" customFormat="1" x14ac:dyDescent="0.2">
      <c r="A23" s="51" t="s">
        <v>72</v>
      </c>
      <c r="B23" s="52">
        <v>57000</v>
      </c>
      <c r="C23" s="61">
        <v>125</v>
      </c>
      <c r="D23" s="107">
        <v>2100</v>
      </c>
      <c r="E23" s="108">
        <v>100</v>
      </c>
      <c r="F23" s="109">
        <v>1975</v>
      </c>
      <c r="G23" s="61"/>
      <c r="H23" s="107"/>
      <c r="I23" s="107"/>
      <c r="J23" s="107"/>
      <c r="K23" s="107"/>
      <c r="L23" s="107"/>
      <c r="M23" s="107">
        <v>250</v>
      </c>
      <c r="N23" s="107"/>
      <c r="O23" s="107"/>
      <c r="P23" s="107"/>
      <c r="Q23" s="107"/>
      <c r="R23" s="107">
        <v>650</v>
      </c>
      <c r="S23" s="127">
        <v>700</v>
      </c>
      <c r="T23" s="107"/>
      <c r="U23" s="107"/>
      <c r="V23" s="107"/>
      <c r="W23" s="107">
        <v>75</v>
      </c>
      <c r="X23" s="107"/>
      <c r="Y23" s="107"/>
      <c r="Z23" s="107"/>
      <c r="AA23" s="107">
        <v>100</v>
      </c>
      <c r="AB23" s="107"/>
      <c r="AC23" s="107"/>
      <c r="AD23" s="111">
        <f t="shared" si="6"/>
        <v>1775</v>
      </c>
      <c r="AE23" s="112">
        <f>F23+AD23</f>
        <v>3750</v>
      </c>
      <c r="AF23" s="112">
        <v>3600</v>
      </c>
      <c r="AG23" s="56">
        <v>4461</v>
      </c>
    </row>
    <row r="24" spans="1:34" s="8" customFormat="1" x14ac:dyDescent="0.2">
      <c r="A24" s="39" t="s">
        <v>73</v>
      </c>
      <c r="B24" s="40">
        <v>58000</v>
      </c>
      <c r="C24" s="61">
        <v>626</v>
      </c>
      <c r="D24" s="107">
        <v>158</v>
      </c>
      <c r="E24" s="108">
        <v>81720</v>
      </c>
      <c r="F24" s="109">
        <f t="shared" ref="F24:F53" si="8">SUM(C24:E24)</f>
        <v>82504</v>
      </c>
      <c r="G24" s="61"/>
      <c r="H24" s="107"/>
      <c r="I24" s="107"/>
      <c r="J24" s="107"/>
      <c r="K24" s="107"/>
      <c r="L24" s="107"/>
      <c r="M24" s="107">
        <v>271</v>
      </c>
      <c r="N24" s="107"/>
      <c r="O24" s="107"/>
      <c r="P24" s="107"/>
      <c r="Q24" s="107"/>
      <c r="R24" s="130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11">
        <f t="shared" si="6"/>
        <v>271</v>
      </c>
      <c r="AE24" s="112">
        <f>F24+AD24</f>
        <v>82775</v>
      </c>
      <c r="AF24" s="112">
        <v>85735</v>
      </c>
      <c r="AG24" s="56">
        <v>84792</v>
      </c>
    </row>
    <row r="25" spans="1:34" x14ac:dyDescent="0.2">
      <c r="A25" s="116" t="s">
        <v>74</v>
      </c>
      <c r="B25" s="117">
        <v>60000</v>
      </c>
      <c r="C25" s="131">
        <f>+AE25-AD25-SUM(D25:E25)</f>
        <v>1208.8439999999946</v>
      </c>
      <c r="D25" s="132">
        <f>+$AE$25*0.08</f>
        <v>2558.4</v>
      </c>
      <c r="E25" s="133">
        <f>+$AE25*0.0225</f>
        <v>719.55</v>
      </c>
      <c r="F25" s="120">
        <f t="shared" si="8"/>
        <v>4486.7939999999944</v>
      </c>
      <c r="G25" s="134">
        <f>+$AE$25*0.0863</f>
        <v>2759.8740000000003</v>
      </c>
      <c r="H25" s="135">
        <f>+$AE$25*0.0238</f>
        <v>761.12400000000002</v>
      </c>
      <c r="I25" s="135">
        <f>+$AE$25*0.0311</f>
        <v>994.57799999999997</v>
      </c>
      <c r="J25" s="135">
        <f>+$AE$25*0.0025</f>
        <v>79.95</v>
      </c>
      <c r="K25" s="135"/>
      <c r="L25" s="135">
        <f>+AE25*0.0025</f>
        <v>79.95</v>
      </c>
      <c r="M25" s="132">
        <f>+AE25*0.426</f>
        <v>13623.48</v>
      </c>
      <c r="N25" s="135">
        <f>+$AE$25*0.04</f>
        <v>1279.2</v>
      </c>
      <c r="O25" s="135">
        <f>+$AE$25*0.02</f>
        <v>639.6</v>
      </c>
      <c r="P25" s="135">
        <f>+$AE$25*0.02</f>
        <v>639.6</v>
      </c>
      <c r="Q25" s="135">
        <f>+AE25*0.0025</f>
        <v>79.95</v>
      </c>
      <c r="R25" s="132">
        <f>+$AE$25*0.03</f>
        <v>959.4</v>
      </c>
      <c r="S25" s="132">
        <f>+$AE$25*0.03</f>
        <v>959.4</v>
      </c>
      <c r="T25" s="135">
        <f>+$AE$25*0.005</f>
        <v>159.9</v>
      </c>
      <c r="U25" s="135">
        <f>+$AE$25*0.005</f>
        <v>159.9</v>
      </c>
      <c r="V25" s="135">
        <f>+AE25*0.005</f>
        <v>159.9</v>
      </c>
      <c r="W25" s="135">
        <f>+AE25*0.03</f>
        <v>959.4</v>
      </c>
      <c r="X25" s="135">
        <f>+AE25*0.07</f>
        <v>2238.6000000000004</v>
      </c>
      <c r="Y25" s="135"/>
      <c r="Z25" s="135">
        <f>+AE25*0.005</f>
        <v>159.9</v>
      </c>
      <c r="AA25" s="135">
        <f>+AE25*0.01</f>
        <v>319.8</v>
      </c>
      <c r="AB25" s="135">
        <f>+AE25*0.005</f>
        <v>159.9</v>
      </c>
      <c r="AC25" s="135">
        <f>+AE25*0.01</f>
        <v>319.8</v>
      </c>
      <c r="AD25" s="121">
        <f t="shared" si="6"/>
        <v>27493.206000000006</v>
      </c>
      <c r="AE25" s="136">
        <v>31980</v>
      </c>
      <c r="AF25" s="136">
        <v>31400</v>
      </c>
      <c r="AG25" s="56">
        <v>31400</v>
      </c>
      <c r="AH25" s="8"/>
    </row>
    <row r="26" spans="1:34" s="8" customFormat="1" x14ac:dyDescent="0.2">
      <c r="A26" s="39" t="s">
        <v>75</v>
      </c>
      <c r="B26" s="40">
        <v>61000</v>
      </c>
      <c r="C26" s="61">
        <v>2400</v>
      </c>
      <c r="D26" s="107">
        <v>1000</v>
      </c>
      <c r="E26" s="108">
        <v>2350</v>
      </c>
      <c r="F26" s="109">
        <f t="shared" si="8"/>
        <v>5750</v>
      </c>
      <c r="G26" s="61"/>
      <c r="H26" s="107"/>
      <c r="I26" s="107"/>
      <c r="J26" s="107"/>
      <c r="K26" s="107"/>
      <c r="L26" s="107"/>
      <c r="M26" s="107">
        <v>500</v>
      </c>
      <c r="N26" s="107"/>
      <c r="O26" s="107"/>
      <c r="P26" s="107"/>
      <c r="Q26" s="107"/>
      <c r="R26" s="107"/>
      <c r="S26" s="13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11">
        <f t="shared" si="6"/>
        <v>500</v>
      </c>
      <c r="AE26" s="112">
        <f t="shared" ref="AE26:AE31" si="9">F26+AD26</f>
        <v>6250</v>
      </c>
      <c r="AF26" s="112">
        <v>6900</v>
      </c>
      <c r="AG26" s="56">
        <v>5575</v>
      </c>
    </row>
    <row r="27" spans="1:34" s="8" customFormat="1" x14ac:dyDescent="0.2">
      <c r="A27" s="39" t="s">
        <v>76</v>
      </c>
      <c r="B27" s="138">
        <v>62000</v>
      </c>
      <c r="C27" s="61"/>
      <c r="D27" s="127">
        <v>100</v>
      </c>
      <c r="E27" s="108"/>
      <c r="F27" s="109">
        <f t="shared" si="8"/>
        <v>100</v>
      </c>
      <c r="G27" s="61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3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11">
        <f t="shared" si="6"/>
        <v>0</v>
      </c>
      <c r="AE27" s="112">
        <f t="shared" si="9"/>
        <v>100</v>
      </c>
      <c r="AF27" s="112">
        <v>250</v>
      </c>
      <c r="AG27" s="56">
        <v>0</v>
      </c>
    </row>
    <row r="28" spans="1:34" s="8" customFormat="1" x14ac:dyDescent="0.2">
      <c r="A28" s="39" t="s">
        <v>77</v>
      </c>
      <c r="B28" s="40">
        <v>62004</v>
      </c>
      <c r="C28" s="61"/>
      <c r="D28" s="277">
        <v>6300</v>
      </c>
      <c r="E28" s="108"/>
      <c r="F28" s="109">
        <f t="shared" si="8"/>
        <v>6300</v>
      </c>
      <c r="G28" s="61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3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11">
        <f t="shared" si="6"/>
        <v>0</v>
      </c>
      <c r="AE28" s="112">
        <f t="shared" si="9"/>
        <v>6300</v>
      </c>
      <c r="AF28" s="112">
        <v>1800</v>
      </c>
      <c r="AG28" s="56">
        <v>1800</v>
      </c>
    </row>
    <row r="29" spans="1:34" s="8" customFormat="1" x14ac:dyDescent="0.2">
      <c r="A29" s="51" t="s">
        <v>41</v>
      </c>
      <c r="B29" s="52">
        <v>63000</v>
      </c>
      <c r="C29" s="61"/>
      <c r="D29" s="107"/>
      <c r="E29" s="108"/>
      <c r="F29" s="109">
        <f t="shared" si="8"/>
        <v>0</v>
      </c>
      <c r="G29" s="61"/>
      <c r="H29" s="107"/>
      <c r="I29" s="107"/>
      <c r="J29" s="107"/>
      <c r="K29" s="107"/>
      <c r="L29" s="107"/>
      <c r="M29" s="124">
        <f>M162</f>
        <v>136000</v>
      </c>
      <c r="N29" s="107"/>
      <c r="O29" s="107"/>
      <c r="P29" s="107"/>
      <c r="Q29" s="114">
        <f>Q93</f>
        <v>6000</v>
      </c>
      <c r="R29" s="107"/>
      <c r="S29" s="137"/>
      <c r="T29" s="107">
        <v>500</v>
      </c>
      <c r="U29" s="107"/>
      <c r="V29" s="107"/>
      <c r="W29" s="107"/>
      <c r="X29" s="114">
        <f>X94</f>
        <v>26000</v>
      </c>
      <c r="Y29" s="107"/>
      <c r="Z29" s="107">
        <v>4000</v>
      </c>
      <c r="AA29" s="107"/>
      <c r="AB29" s="107"/>
      <c r="AC29" s="139">
        <f>AC12</f>
        <v>4625</v>
      </c>
      <c r="AD29" s="111">
        <f t="shared" si="6"/>
        <v>177125</v>
      </c>
      <c r="AE29" s="112">
        <f t="shared" si="9"/>
        <v>177125</v>
      </c>
      <c r="AF29" s="112">
        <v>153700</v>
      </c>
      <c r="AG29" s="56">
        <v>138952</v>
      </c>
    </row>
    <row r="30" spans="1:34" s="8" customFormat="1" x14ac:dyDescent="0.2">
      <c r="A30" s="39" t="s">
        <v>78</v>
      </c>
      <c r="B30" s="40">
        <v>54500</v>
      </c>
      <c r="C30" s="61"/>
      <c r="D30" s="107"/>
      <c r="E30" s="108"/>
      <c r="F30" s="109">
        <f t="shared" si="8"/>
        <v>0</v>
      </c>
      <c r="G30" s="61"/>
      <c r="H30" s="107"/>
      <c r="I30" s="107"/>
      <c r="J30" s="107"/>
      <c r="K30" s="107"/>
      <c r="L30" s="107"/>
      <c r="M30" s="107">
        <v>8000</v>
      </c>
      <c r="N30" s="107"/>
      <c r="O30" s="107"/>
      <c r="P30" s="107"/>
      <c r="Q30" s="107"/>
      <c r="R30" s="107"/>
      <c r="S30" s="13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11">
        <f t="shared" si="6"/>
        <v>8000</v>
      </c>
      <c r="AE30" s="112">
        <f t="shared" si="9"/>
        <v>8000</v>
      </c>
      <c r="AF30" s="112">
        <v>8000</v>
      </c>
      <c r="AG30" s="56">
        <v>7099</v>
      </c>
    </row>
    <row r="31" spans="1:34" s="8" customFormat="1" x14ac:dyDescent="0.2">
      <c r="A31" s="39" t="s">
        <v>79</v>
      </c>
      <c r="B31" s="40">
        <v>63200</v>
      </c>
      <c r="C31" s="61">
        <v>800</v>
      </c>
      <c r="D31" s="107">
        <v>50</v>
      </c>
      <c r="E31" s="108">
        <v>6000</v>
      </c>
      <c r="F31" s="109">
        <f t="shared" si="8"/>
        <v>6850</v>
      </c>
      <c r="G31" s="61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3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11">
        <f t="shared" si="6"/>
        <v>0</v>
      </c>
      <c r="AE31" s="112">
        <f t="shared" si="9"/>
        <v>6850</v>
      </c>
      <c r="AF31" s="112">
        <v>7350</v>
      </c>
      <c r="AG31" s="56">
        <v>6367</v>
      </c>
    </row>
    <row r="32" spans="1:34" x14ac:dyDescent="0.2">
      <c r="A32" s="116" t="s">
        <v>80</v>
      </c>
      <c r="B32" s="117">
        <v>63212</v>
      </c>
      <c r="C32" s="119">
        <f>SUM(C43:C45)/SUM($AE$43:$AE$45)*$AE$32</f>
        <v>92.981761047601296</v>
      </c>
      <c r="D32" s="119">
        <f>SUM(D43:D45)/SUM($AE$43:$AE$45)*$AE$32</f>
        <v>165.73056086199313</v>
      </c>
      <c r="E32" s="119">
        <f>SUM(E43:E45)/SUM($AE$43:$AE$45)*$AE$32</f>
        <v>31.857046781687465</v>
      </c>
      <c r="F32" s="120">
        <f t="shared" si="8"/>
        <v>290.56936869128191</v>
      </c>
      <c r="G32" s="140">
        <f t="shared" ref="G32:X32" si="10">SUM(G43:G45)/SUM($AE$43:$AE$45)*$AE$32</f>
        <v>122.28165591963409</v>
      </c>
      <c r="H32" s="140">
        <f t="shared" si="10"/>
        <v>33.793696403179446</v>
      </c>
      <c r="I32" s="140">
        <f t="shared" si="10"/>
        <v>44.04032614121887</v>
      </c>
      <c r="J32" s="140">
        <f t="shared" si="10"/>
        <v>1.7553760673974486</v>
      </c>
      <c r="K32" s="140">
        <f t="shared" si="10"/>
        <v>0</v>
      </c>
      <c r="L32" s="140">
        <f t="shared" si="10"/>
        <v>2.9107000680964923</v>
      </c>
      <c r="M32" s="140">
        <f t="shared" si="10"/>
        <v>605.46239326025511</v>
      </c>
      <c r="N32" s="140">
        <f t="shared" si="10"/>
        <v>37.253852875419582</v>
      </c>
      <c r="O32" s="140">
        <f t="shared" si="10"/>
        <v>18.626926437709791</v>
      </c>
      <c r="P32" s="140">
        <f t="shared" si="10"/>
        <v>18.626926437709791</v>
      </c>
      <c r="Q32" s="140">
        <f t="shared" si="10"/>
        <v>3.5499999999999994</v>
      </c>
      <c r="R32" s="140">
        <f t="shared" si="10"/>
        <v>37.146887146636459</v>
      </c>
      <c r="S32" s="140">
        <f t="shared" si="10"/>
        <v>37.146887146636459</v>
      </c>
      <c r="T32" s="140">
        <f t="shared" si="10"/>
        <v>7.0999999999999988</v>
      </c>
      <c r="U32" s="140">
        <f t="shared" si="10"/>
        <v>7.0999999999999988</v>
      </c>
      <c r="V32" s="140">
        <f t="shared" si="10"/>
        <v>7.0999999999999988</v>
      </c>
      <c r="W32" s="140">
        <f t="shared" si="10"/>
        <v>31.935003404824606</v>
      </c>
      <c r="X32" s="140">
        <f t="shared" si="10"/>
        <v>71</v>
      </c>
      <c r="Y32" s="140"/>
      <c r="Z32" s="140">
        <f>SUM(Z43:Z45)/SUM($AE$43:$AE$45)*$AE$32</f>
        <v>7.0999999999999988</v>
      </c>
      <c r="AA32" s="140">
        <f>SUM(AA43:AA45)/SUM($AE$43:$AE$45)*$AE$32</f>
        <v>14.199999999999998</v>
      </c>
      <c r="AB32" s="140">
        <f>SUM(AB43:AB45)/SUM($AE$43:$AE$45)*$AE$32</f>
        <v>7.0999999999999988</v>
      </c>
      <c r="AC32" s="140">
        <f>SUM(AC43:AC45)/SUM($AE$43:$AE$45)*$AE$32</f>
        <v>14.199999999999998</v>
      </c>
      <c r="AD32" s="121">
        <f t="shared" si="6"/>
        <v>1129.4306313087181</v>
      </c>
      <c r="AE32" s="136">
        <v>1420</v>
      </c>
      <c r="AF32" s="136">
        <v>1410</v>
      </c>
      <c r="AG32" s="56">
        <v>1418</v>
      </c>
      <c r="AH32" s="8"/>
    </row>
    <row r="33" spans="1:34" s="8" customFormat="1" x14ac:dyDescent="0.2">
      <c r="A33" s="39" t="s">
        <v>81</v>
      </c>
      <c r="B33" s="40">
        <v>63300</v>
      </c>
      <c r="C33" s="61"/>
      <c r="D33" s="107"/>
      <c r="E33" s="141">
        <f>E143</f>
        <v>67815</v>
      </c>
      <c r="F33" s="109">
        <f t="shared" si="8"/>
        <v>67815</v>
      </c>
      <c r="G33" s="61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11">
        <f t="shared" si="6"/>
        <v>0</v>
      </c>
      <c r="AE33" s="112">
        <f>F33+AD33</f>
        <v>67815</v>
      </c>
      <c r="AF33" s="112">
        <v>77800</v>
      </c>
      <c r="AG33" s="56">
        <v>76390</v>
      </c>
    </row>
    <row r="34" spans="1:34" s="8" customFormat="1" x14ac:dyDescent="0.2">
      <c r="A34" s="39" t="s">
        <v>82</v>
      </c>
      <c r="B34" s="40">
        <v>63500</v>
      </c>
      <c r="C34" s="61">
        <v>1000</v>
      </c>
      <c r="D34" s="107">
        <v>50</v>
      </c>
      <c r="E34" s="108">
        <v>100</v>
      </c>
      <c r="F34" s="109">
        <f t="shared" si="8"/>
        <v>1150</v>
      </c>
      <c r="G34" s="61"/>
      <c r="H34" s="107"/>
      <c r="I34" s="107"/>
      <c r="J34" s="107"/>
      <c r="K34" s="107"/>
      <c r="L34" s="107"/>
      <c r="M34" s="107">
        <v>100</v>
      </c>
      <c r="N34" s="107"/>
      <c r="O34" s="107"/>
      <c r="P34" s="107"/>
      <c r="Q34" s="107"/>
      <c r="R34" s="107">
        <v>100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11">
        <f t="shared" si="6"/>
        <v>200</v>
      </c>
      <c r="AE34" s="112">
        <f>F34+AD34</f>
        <v>1350</v>
      </c>
      <c r="AF34" s="112">
        <v>1350</v>
      </c>
      <c r="AG34" s="56">
        <v>2308</v>
      </c>
    </row>
    <row r="35" spans="1:34" x14ac:dyDescent="0.2">
      <c r="A35" s="116" t="s">
        <v>83</v>
      </c>
      <c r="B35" s="117">
        <v>64500</v>
      </c>
      <c r="C35" s="119">
        <f>SUM(C43:C45)/SUM($AE$43:$AE$45)*$AE$35</f>
        <v>856.47988345255283</v>
      </c>
      <c r="D35" s="119">
        <f>SUM(D43:D45)/SUM($AE$43:$AE$45)*$AE$35</f>
        <v>1526.5885465315985</v>
      </c>
      <c r="E35" s="119">
        <f>SUM(E43:E45)/SUM($AE$43:$AE$45)*$AE$35</f>
        <v>293.44378303131833</v>
      </c>
      <c r="F35" s="120">
        <f t="shared" si="8"/>
        <v>2676.5122130154696</v>
      </c>
      <c r="G35" s="119">
        <f t="shared" ref="G35:X35" si="11">SUM(G43:G45)/SUM($AE$43:$AE$45)*$AE$35</f>
        <v>1126.3690559357844</v>
      </c>
      <c r="H35" s="119">
        <f t="shared" si="11"/>
        <v>311.28278095323037</v>
      </c>
      <c r="I35" s="119">
        <f t="shared" si="11"/>
        <v>405.66722952615686</v>
      </c>
      <c r="J35" s="119">
        <f t="shared" si="11"/>
        <v>16.169238705322979</v>
      </c>
      <c r="K35" s="119">
        <f t="shared" si="11"/>
        <v>0</v>
      </c>
      <c r="L35" s="119">
        <f t="shared" si="11"/>
        <v>26.811237246973324</v>
      </c>
      <c r="M35" s="119">
        <f t="shared" si="11"/>
        <v>5577.0761294677022</v>
      </c>
      <c r="N35" s="119">
        <f t="shared" si="11"/>
        <v>343.15520817640009</v>
      </c>
      <c r="O35" s="119">
        <f t="shared" si="11"/>
        <v>171.57760408820005</v>
      </c>
      <c r="P35" s="119">
        <f t="shared" si="11"/>
        <v>171.57760408820005</v>
      </c>
      <c r="Q35" s="119">
        <f t="shared" si="11"/>
        <v>32.699999999999996</v>
      </c>
      <c r="R35" s="119">
        <f t="shared" si="11"/>
        <v>342.16991822394709</v>
      </c>
      <c r="S35" s="119">
        <f t="shared" si="11"/>
        <v>342.16991822394709</v>
      </c>
      <c r="T35" s="119">
        <f t="shared" si="11"/>
        <v>65.399999999999991</v>
      </c>
      <c r="U35" s="119">
        <f t="shared" si="11"/>
        <v>65.399999999999991</v>
      </c>
      <c r="V35" s="119">
        <f t="shared" si="11"/>
        <v>65.399999999999991</v>
      </c>
      <c r="W35" s="119">
        <f t="shared" si="11"/>
        <v>294.16186234866609</v>
      </c>
      <c r="X35" s="119">
        <f t="shared" si="11"/>
        <v>654</v>
      </c>
      <c r="Y35" s="119"/>
      <c r="Z35" s="119">
        <f>SUM(Z43:Z45)/SUM($AE$43:$AE$45)*$AE$35</f>
        <v>65.399999999999991</v>
      </c>
      <c r="AA35" s="119">
        <f>SUM(AA43:AA45)/SUM($AE$43:$AE$45)*$AE$35</f>
        <v>130.79999999999998</v>
      </c>
      <c r="AB35" s="119">
        <f>SUM(AB43:AB45)/SUM($AE$43:$AE$45)*$AE$35</f>
        <v>65.399999999999991</v>
      </c>
      <c r="AC35" s="119">
        <f>SUM(AC43:AC45)/SUM($AE$43:$AE$45)*$AE$35</f>
        <v>130.79999999999998</v>
      </c>
      <c r="AD35" s="121">
        <f t="shared" si="6"/>
        <v>10403.487786984528</v>
      </c>
      <c r="AE35" s="136">
        <v>13080</v>
      </c>
      <c r="AF35" s="136">
        <v>12850</v>
      </c>
      <c r="AG35" s="56">
        <v>11773</v>
      </c>
      <c r="AH35" s="8"/>
    </row>
    <row r="36" spans="1:34" s="8" customFormat="1" x14ac:dyDescent="0.2">
      <c r="A36" s="39" t="s">
        <v>84</v>
      </c>
      <c r="B36" s="40">
        <v>65000</v>
      </c>
      <c r="C36" s="61">
        <v>1000</v>
      </c>
      <c r="D36" s="127">
        <v>550</v>
      </c>
      <c r="E36" s="108">
        <v>50</v>
      </c>
      <c r="F36" s="109">
        <f t="shared" si="8"/>
        <v>1600</v>
      </c>
      <c r="G36" s="61">
        <v>30.552719209927016</v>
      </c>
      <c r="H36" s="107">
        <v>8.4434926991954509</v>
      </c>
      <c r="I36" s="107">
        <v>11.003788090877533</v>
      </c>
      <c r="J36" s="107"/>
      <c r="K36" s="107"/>
      <c r="L36" s="107"/>
      <c r="M36" s="107">
        <v>1500</v>
      </c>
      <c r="N36" s="107"/>
      <c r="O36" s="107"/>
      <c r="P36" s="107"/>
      <c r="Q36" s="107"/>
      <c r="R36" s="107">
        <v>600</v>
      </c>
      <c r="S36" s="107">
        <v>1550</v>
      </c>
      <c r="T36" s="107"/>
      <c r="U36" s="107"/>
      <c r="V36" s="107"/>
      <c r="W36" s="107">
        <v>600</v>
      </c>
      <c r="X36" s="107"/>
      <c r="Y36" s="107"/>
      <c r="Z36" s="107"/>
      <c r="AA36" s="107"/>
      <c r="AB36" s="107"/>
      <c r="AC36" s="107"/>
      <c r="AD36" s="111">
        <f t="shared" si="6"/>
        <v>4300</v>
      </c>
      <c r="AE36" s="112">
        <f t="shared" ref="AE36:AE42" si="12">F36+AD36</f>
        <v>5900</v>
      </c>
      <c r="AF36" s="112">
        <v>6000</v>
      </c>
      <c r="AG36" s="56">
        <v>7812</v>
      </c>
    </row>
    <row r="37" spans="1:34" s="8" customFormat="1" x14ac:dyDescent="0.2">
      <c r="A37" s="39" t="s">
        <v>85</v>
      </c>
      <c r="B37" s="40">
        <v>66000</v>
      </c>
      <c r="C37" s="61">
        <v>1000</v>
      </c>
      <c r="D37" s="127">
        <v>800</v>
      </c>
      <c r="E37" s="108">
        <v>50</v>
      </c>
      <c r="F37" s="109">
        <f t="shared" si="8"/>
        <v>1850</v>
      </c>
      <c r="G37" s="61">
        <v>31</v>
      </c>
      <c r="H37" s="107">
        <v>8</v>
      </c>
      <c r="I37" s="107">
        <v>11</v>
      </c>
      <c r="J37" s="107"/>
      <c r="K37" s="107"/>
      <c r="L37" s="107"/>
      <c r="M37" s="107">
        <v>250</v>
      </c>
      <c r="N37" s="107">
        <v>200</v>
      </c>
      <c r="O37" s="107">
        <v>300</v>
      </c>
      <c r="P37" s="107">
        <v>200</v>
      </c>
      <c r="Q37" s="107"/>
      <c r="R37" s="107">
        <v>100</v>
      </c>
      <c r="S37" s="107">
        <v>100</v>
      </c>
      <c r="T37" s="107"/>
      <c r="U37" s="107"/>
      <c r="V37" s="107"/>
      <c r="W37" s="107">
        <v>50</v>
      </c>
      <c r="X37" s="107"/>
      <c r="Y37" s="107"/>
      <c r="Z37" s="107"/>
      <c r="AA37" s="107"/>
      <c r="AB37" s="107"/>
      <c r="AC37" s="107"/>
      <c r="AD37" s="111">
        <f t="shared" si="6"/>
        <v>1250</v>
      </c>
      <c r="AE37" s="112">
        <f t="shared" si="12"/>
        <v>3100</v>
      </c>
      <c r="AF37" s="112">
        <v>3000</v>
      </c>
      <c r="AG37" s="56">
        <v>1920</v>
      </c>
    </row>
    <row r="38" spans="1:34" s="8" customFormat="1" x14ac:dyDescent="0.2">
      <c r="A38" s="39" t="s">
        <v>86</v>
      </c>
      <c r="B38" s="40">
        <v>67000</v>
      </c>
      <c r="C38" s="123">
        <v>1500</v>
      </c>
      <c r="D38" s="142">
        <v>1250</v>
      </c>
      <c r="E38" s="143"/>
      <c r="F38" s="109">
        <f t="shared" si="8"/>
        <v>2750</v>
      </c>
      <c r="G38" s="144"/>
      <c r="H38" s="127"/>
      <c r="I38" s="127"/>
      <c r="J38" s="127"/>
      <c r="K38" s="127"/>
      <c r="L38" s="127"/>
      <c r="M38" s="142"/>
      <c r="N38" s="127"/>
      <c r="O38" s="127"/>
      <c r="P38" s="127"/>
      <c r="Q38" s="127"/>
      <c r="R38" s="142"/>
      <c r="S38" s="142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11">
        <f t="shared" si="6"/>
        <v>0</v>
      </c>
      <c r="AE38" s="112">
        <f t="shared" si="12"/>
        <v>2750</v>
      </c>
      <c r="AF38" s="112">
        <v>3250</v>
      </c>
      <c r="AG38" s="56">
        <v>3449</v>
      </c>
    </row>
    <row r="39" spans="1:34" s="8" customFormat="1" x14ac:dyDescent="0.2">
      <c r="A39" s="39" t="s">
        <v>87</v>
      </c>
      <c r="B39" s="40">
        <v>67010</v>
      </c>
      <c r="C39" s="61">
        <v>12250</v>
      </c>
      <c r="D39" s="107"/>
      <c r="E39" s="108"/>
      <c r="F39" s="109">
        <f t="shared" si="8"/>
        <v>12250</v>
      </c>
      <c r="G39" s="61"/>
      <c r="H39" s="145"/>
      <c r="I39" s="107"/>
      <c r="J39" s="107"/>
      <c r="K39" s="107">
        <v>150</v>
      </c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11">
        <f t="shared" si="6"/>
        <v>150</v>
      </c>
      <c r="AE39" s="112">
        <f t="shared" si="12"/>
        <v>12400</v>
      </c>
      <c r="AF39" s="112">
        <v>12400</v>
      </c>
      <c r="AG39" s="56">
        <v>12636</v>
      </c>
    </row>
    <row r="40" spans="1:34" s="8" customFormat="1" x14ac:dyDescent="0.2">
      <c r="A40" s="39" t="s">
        <v>88</v>
      </c>
      <c r="B40" s="40">
        <v>67200</v>
      </c>
      <c r="C40" s="61">
        <v>1100</v>
      </c>
      <c r="D40" s="107">
        <v>1000</v>
      </c>
      <c r="E40" s="108">
        <v>550</v>
      </c>
      <c r="F40" s="109">
        <f t="shared" si="8"/>
        <v>2650</v>
      </c>
      <c r="G40" s="61"/>
      <c r="H40" s="107"/>
      <c r="I40" s="107"/>
      <c r="J40" s="107"/>
      <c r="K40" s="107"/>
      <c r="L40" s="107"/>
      <c r="M40" s="107">
        <v>0</v>
      </c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11">
        <f t="shared" si="6"/>
        <v>0</v>
      </c>
      <c r="AE40" s="112">
        <f t="shared" si="12"/>
        <v>2650</v>
      </c>
      <c r="AF40" s="112">
        <v>3000</v>
      </c>
      <c r="AG40" s="56">
        <v>2353</v>
      </c>
    </row>
    <row r="41" spans="1:34" s="8" customFormat="1" x14ac:dyDescent="0.2">
      <c r="A41" s="39" t="s">
        <v>89</v>
      </c>
      <c r="B41" s="40">
        <v>67400</v>
      </c>
      <c r="C41" s="61"/>
      <c r="D41" s="107">
        <v>600</v>
      </c>
      <c r="E41" s="108"/>
      <c r="F41" s="109">
        <f t="shared" si="8"/>
        <v>600</v>
      </c>
      <c r="G41" s="61"/>
      <c r="H41" s="107"/>
      <c r="I41" s="107"/>
      <c r="J41" s="107"/>
      <c r="K41" s="107"/>
      <c r="L41" s="107"/>
      <c r="M41" s="107">
        <v>600</v>
      </c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11">
        <f t="shared" si="6"/>
        <v>600</v>
      </c>
      <c r="AE41" s="112">
        <f t="shared" si="12"/>
        <v>1200</v>
      </c>
      <c r="AF41" s="112">
        <v>1150</v>
      </c>
      <c r="AG41" s="56">
        <v>1123</v>
      </c>
    </row>
    <row r="42" spans="1:34" s="8" customFormat="1" x14ac:dyDescent="0.2">
      <c r="A42" s="39" t="s">
        <v>90</v>
      </c>
      <c r="B42" s="40">
        <v>67500</v>
      </c>
      <c r="C42" s="61">
        <v>100</v>
      </c>
      <c r="D42" s="107">
        <v>250</v>
      </c>
      <c r="E42" s="141">
        <f>E151</f>
        <v>27775</v>
      </c>
      <c r="F42" s="109">
        <f t="shared" si="8"/>
        <v>28125</v>
      </c>
      <c r="G42" s="61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11">
        <f t="shared" si="6"/>
        <v>0</v>
      </c>
      <c r="AE42" s="112">
        <f t="shared" si="12"/>
        <v>28125</v>
      </c>
      <c r="AF42" s="112">
        <v>24625</v>
      </c>
      <c r="AG42" s="56">
        <v>27489</v>
      </c>
    </row>
    <row r="43" spans="1:34" x14ac:dyDescent="0.2">
      <c r="A43" s="116" t="s">
        <v>91</v>
      </c>
      <c r="B43" s="117">
        <v>68010</v>
      </c>
      <c r="C43" s="131">
        <f>+AE43-AD43-SUM(D43:E43)</f>
        <v>3076.5720000000128</v>
      </c>
      <c r="D43" s="132">
        <f>+$AE$43*0.125</f>
        <v>4899</v>
      </c>
      <c r="E43" s="133">
        <f>+AE43*0.05</f>
        <v>1959.6000000000001</v>
      </c>
      <c r="F43" s="120">
        <f t="shared" si="8"/>
        <v>9935.1720000000132</v>
      </c>
      <c r="G43" s="134">
        <f>+AE43*0.076382</f>
        <v>2993.5633440000001</v>
      </c>
      <c r="H43" s="135">
        <f>+AE43*0.021109</f>
        <v>827.30392799999993</v>
      </c>
      <c r="I43" s="135">
        <f>+AE43*0.027509</f>
        <v>1078.132728</v>
      </c>
      <c r="J43" s="135">
        <f>+AE43*0.002</f>
        <v>78.384</v>
      </c>
      <c r="K43" s="135"/>
      <c r="L43" s="135">
        <f>+AE43*0.002</f>
        <v>78.384</v>
      </c>
      <c r="M43" s="132">
        <f>+$AE$43*0.35</f>
        <v>13717.199999999999</v>
      </c>
      <c r="N43" s="132">
        <f>+$AE$43*0.05</f>
        <v>1959.6000000000001</v>
      </c>
      <c r="O43" s="132">
        <f>+$AE$43*0.025</f>
        <v>979.80000000000007</v>
      </c>
      <c r="P43" s="132">
        <f>+$AE$43*0.025</f>
        <v>979.80000000000007</v>
      </c>
      <c r="Q43" s="135">
        <f>+$AE$43*0.0025</f>
        <v>97.98</v>
      </c>
      <c r="R43" s="132">
        <f>+$AE$43*0.025</f>
        <v>979.80000000000007</v>
      </c>
      <c r="S43" s="132">
        <f>+$AE$43*0.025</f>
        <v>979.80000000000007</v>
      </c>
      <c r="T43" s="135">
        <f>+AE43*0.005</f>
        <v>195.96</v>
      </c>
      <c r="U43" s="135">
        <f>+AE43*0.005</f>
        <v>195.96</v>
      </c>
      <c r="V43" s="135">
        <f>+AE43*0.005</f>
        <v>195.96</v>
      </c>
      <c r="W43" s="135">
        <f>+AE43*0.02</f>
        <v>783.84</v>
      </c>
      <c r="X43" s="135">
        <f>+AE43*0.05</f>
        <v>1959.6000000000001</v>
      </c>
      <c r="Y43" s="135"/>
      <c r="Z43" s="135">
        <f>+AE43*0.005</f>
        <v>195.96</v>
      </c>
      <c r="AA43" s="135">
        <f>+AE43*0.01</f>
        <v>391.92</v>
      </c>
      <c r="AB43" s="135">
        <f>+AE43*0.005</f>
        <v>195.96</v>
      </c>
      <c r="AC43" s="135">
        <f>+AE43*0.01</f>
        <v>391.92</v>
      </c>
      <c r="AD43" s="146">
        <f t="shared" si="6"/>
        <v>29256.827999999987</v>
      </c>
      <c r="AE43" s="122">
        <v>39192</v>
      </c>
      <c r="AF43" s="122">
        <v>38425</v>
      </c>
      <c r="AG43" s="56">
        <v>38429</v>
      </c>
      <c r="AH43" s="8"/>
    </row>
    <row r="44" spans="1:34" x14ac:dyDescent="0.2">
      <c r="A44" s="116" t="s">
        <v>92</v>
      </c>
      <c r="B44" s="117">
        <v>68020</v>
      </c>
      <c r="C44" s="131">
        <f>+AE44-AD44-SUM(D44:E44)</f>
        <v>714.66299999998682</v>
      </c>
      <c r="D44" s="132">
        <f>+$AE$44*0.04</f>
        <v>1652.4</v>
      </c>
      <c r="E44" s="133">
        <f>+$AE44*0.022</f>
        <v>908.81999999999994</v>
      </c>
      <c r="F44" s="120">
        <f t="shared" si="8"/>
        <v>3275.8829999999871</v>
      </c>
      <c r="G44" s="134">
        <f>+AE44*0.134432</f>
        <v>5553.3859199999997</v>
      </c>
      <c r="H44" s="135">
        <f>+AE44*0.037151</f>
        <v>1534.7078100000001</v>
      </c>
      <c r="I44" s="135">
        <f>+AE44*0.048417</f>
        <v>2000.10627</v>
      </c>
      <c r="J44" s="135">
        <f>+$AE$44*0.001</f>
        <v>41.31</v>
      </c>
      <c r="K44" s="135"/>
      <c r="L44" s="135">
        <f>+AE44*0.0022</f>
        <v>90.882000000000005</v>
      </c>
      <c r="M44" s="132">
        <f>+AE44*0.45</f>
        <v>18589.5</v>
      </c>
      <c r="N44" s="135">
        <f>+$AE$44*0.02</f>
        <v>826.2</v>
      </c>
      <c r="O44" s="135">
        <f>+$AE$44*0.01</f>
        <v>413.1</v>
      </c>
      <c r="P44" s="135">
        <f>+$AE$44*0.01</f>
        <v>413.1</v>
      </c>
      <c r="Q44" s="135">
        <f>+$AE$44*0.0025</f>
        <v>103.27500000000001</v>
      </c>
      <c r="R44" s="132">
        <f>+$AE$44*0.04</f>
        <v>1652.4</v>
      </c>
      <c r="S44" s="132">
        <f>+$AE$44*0.04</f>
        <v>1652.4</v>
      </c>
      <c r="T44" s="135">
        <f>+AE44*0.005</f>
        <v>206.55</v>
      </c>
      <c r="U44" s="135">
        <f>+AE44*0.005</f>
        <v>206.55</v>
      </c>
      <c r="V44" s="135">
        <f>+AE44*0.005</f>
        <v>206.55</v>
      </c>
      <c r="W44" s="135">
        <f>+AE44*0.03</f>
        <v>1239.3</v>
      </c>
      <c r="X44" s="135">
        <f>+AE44*0.05</f>
        <v>2065.5</v>
      </c>
      <c r="Y44" s="135"/>
      <c r="Z44" s="135">
        <f>+AE44*0.005</f>
        <v>206.55</v>
      </c>
      <c r="AA44" s="135">
        <f>+AE44*0.01</f>
        <v>413.1</v>
      </c>
      <c r="AB44" s="135">
        <f>+AE44*0.005</f>
        <v>206.55</v>
      </c>
      <c r="AC44" s="135">
        <f>+AE44*0.01</f>
        <v>413.1</v>
      </c>
      <c r="AD44" s="146">
        <f t="shared" si="6"/>
        <v>38034.117000000013</v>
      </c>
      <c r="AE44" s="122">
        <v>41310</v>
      </c>
      <c r="AF44" s="122">
        <v>40500</v>
      </c>
      <c r="AG44" s="56">
        <v>38299</v>
      </c>
      <c r="AH44" s="8"/>
    </row>
    <row r="45" spans="1:34" x14ac:dyDescent="0.2">
      <c r="A45" s="147" t="s">
        <v>93</v>
      </c>
      <c r="B45" s="148">
        <v>68030</v>
      </c>
      <c r="C45" s="149">
        <f>+AE45-AD45-SUM(D45:E45)</f>
        <v>7074.6005000000059</v>
      </c>
      <c r="D45" s="150">
        <f>+$AE$45*0.15</f>
        <v>12815.85</v>
      </c>
      <c r="E45" s="150">
        <f>+$AE$45*0.01</f>
        <v>854.39</v>
      </c>
      <c r="F45" s="151">
        <f t="shared" si="8"/>
        <v>20744.840500000006</v>
      </c>
      <c r="G45" s="132">
        <f>+$AE$45*0.067216</f>
        <v>5742.8678239999999</v>
      </c>
      <c r="H45" s="132">
        <f>+$AE$45*0.018576</f>
        <v>1587.1148639999999</v>
      </c>
      <c r="I45" s="135">
        <f>+AE45*0.024208</f>
        <v>2068.3073119999999</v>
      </c>
      <c r="J45" s="135">
        <f>+AE45*0.001</f>
        <v>85.439000000000007</v>
      </c>
      <c r="K45" s="135"/>
      <c r="L45" s="135">
        <f>+AE45*0.002</f>
        <v>170.87800000000001</v>
      </c>
      <c r="M45" s="132">
        <f>+$AE$45*0.45</f>
        <v>38447.550000000003</v>
      </c>
      <c r="N45" s="132">
        <f>+$AE$43*0.04</f>
        <v>1567.68</v>
      </c>
      <c r="O45" s="132">
        <f>+$AE$43*0.02</f>
        <v>783.84</v>
      </c>
      <c r="P45" s="132">
        <f>+$AE$43*0.02</f>
        <v>783.84</v>
      </c>
      <c r="Q45" s="135">
        <f>+$AE$45*0.0025</f>
        <v>213.5975</v>
      </c>
      <c r="R45" s="132">
        <f>+$AE$45*0.02</f>
        <v>1708.78</v>
      </c>
      <c r="S45" s="132">
        <f>+$AE$45*0.02</f>
        <v>1708.78</v>
      </c>
      <c r="T45" s="135">
        <f>+AE45*0.005</f>
        <v>427.19499999999999</v>
      </c>
      <c r="U45" s="135">
        <f>+AE45*0.005</f>
        <v>427.19499999999999</v>
      </c>
      <c r="V45" s="135">
        <f>+AE45*0.005</f>
        <v>427.19499999999999</v>
      </c>
      <c r="W45" s="135">
        <f>+AE45*0.02</f>
        <v>1708.78</v>
      </c>
      <c r="X45" s="135">
        <f>+AE45*0.05</f>
        <v>4271.95</v>
      </c>
      <c r="Y45" s="135"/>
      <c r="Z45" s="135">
        <f>+AE45*0.005</f>
        <v>427.19499999999999</v>
      </c>
      <c r="AA45" s="135">
        <f>+AE45*0.01</f>
        <v>854.39</v>
      </c>
      <c r="AB45" s="135">
        <f>+AE45*0.005</f>
        <v>427.19499999999999</v>
      </c>
      <c r="AC45" s="135">
        <f>+AE45*0.01</f>
        <v>854.39</v>
      </c>
      <c r="AD45" s="146">
        <f t="shared" si="6"/>
        <v>64694.159499999994</v>
      </c>
      <c r="AE45" s="122">
        <v>85439</v>
      </c>
      <c r="AF45" s="122">
        <v>82500</v>
      </c>
      <c r="AG45" s="56">
        <v>82150</v>
      </c>
      <c r="AH45" s="8"/>
    </row>
    <row r="46" spans="1:34" s="8" customFormat="1" x14ac:dyDescent="0.2">
      <c r="A46" s="39" t="s">
        <v>94</v>
      </c>
      <c r="B46" s="40">
        <v>68500</v>
      </c>
      <c r="C46" s="123"/>
      <c r="D46" s="142">
        <v>600</v>
      </c>
      <c r="E46" s="152"/>
      <c r="F46" s="109">
        <f t="shared" si="8"/>
        <v>600</v>
      </c>
      <c r="G46" s="144"/>
      <c r="H46" s="127"/>
      <c r="I46" s="127"/>
      <c r="J46" s="127"/>
      <c r="K46" s="127"/>
      <c r="L46" s="127"/>
      <c r="M46" s="142"/>
      <c r="N46" s="142"/>
      <c r="O46" s="142"/>
      <c r="P46" s="142"/>
      <c r="Q46" s="142"/>
      <c r="R46" s="142"/>
      <c r="S46" s="142"/>
      <c r="T46" s="127"/>
      <c r="U46" s="127"/>
      <c r="V46" s="127"/>
      <c r="W46" s="127"/>
      <c r="X46" s="127"/>
      <c r="Y46" s="127"/>
      <c r="Z46" s="127"/>
      <c r="AA46" s="142"/>
      <c r="AB46" s="142"/>
      <c r="AC46" s="127"/>
      <c r="AD46" s="153"/>
      <c r="AE46" s="112">
        <f>F46+AD46</f>
        <v>600</v>
      </c>
      <c r="AF46" s="112">
        <v>600</v>
      </c>
      <c r="AG46" s="56">
        <v>264</v>
      </c>
    </row>
    <row r="47" spans="1:34" s="8" customFormat="1" x14ac:dyDescent="0.2">
      <c r="A47" s="51" t="s">
        <v>52</v>
      </c>
      <c r="B47" s="52">
        <v>69000</v>
      </c>
      <c r="C47" s="144"/>
      <c r="D47" s="127"/>
      <c r="E47" s="154"/>
      <c r="F47" s="109">
        <f t="shared" si="8"/>
        <v>0</v>
      </c>
      <c r="G47" s="61">
        <v>65000</v>
      </c>
      <c r="H47" s="107">
        <v>16500</v>
      </c>
      <c r="I47" s="107">
        <v>13500</v>
      </c>
      <c r="J47" s="107">
        <v>800</v>
      </c>
      <c r="K47" s="107">
        <v>15175</v>
      </c>
      <c r="L47" s="107">
        <v>1500</v>
      </c>
      <c r="M47" s="107"/>
      <c r="N47" s="107"/>
      <c r="O47" s="107"/>
      <c r="P47" s="107"/>
      <c r="Q47" s="107"/>
      <c r="R47" s="127"/>
      <c r="S47" s="127"/>
      <c r="T47" s="127"/>
      <c r="U47" s="127"/>
      <c r="V47" s="127"/>
      <c r="W47" s="107"/>
      <c r="X47" s="107"/>
      <c r="Y47" s="107"/>
      <c r="Z47" s="107"/>
      <c r="AA47" s="107"/>
      <c r="AB47" s="107"/>
      <c r="AC47" s="107"/>
      <c r="AD47" s="111">
        <f t="shared" ref="AD47:AD53" si="13">SUM(G47:AC47)</f>
        <v>112475</v>
      </c>
      <c r="AE47" s="112">
        <f>F47+AD47</f>
        <v>112475</v>
      </c>
      <c r="AF47" s="112">
        <v>113819</v>
      </c>
      <c r="AG47" s="56">
        <v>119682</v>
      </c>
    </row>
    <row r="48" spans="1:34" s="8" customFormat="1" x14ac:dyDescent="0.2">
      <c r="A48" s="39" t="s">
        <v>95</v>
      </c>
      <c r="B48" s="40">
        <v>71000</v>
      </c>
      <c r="C48" s="61">
        <v>100</v>
      </c>
      <c r="D48" s="107">
        <v>100</v>
      </c>
      <c r="E48" s="108">
        <v>1400</v>
      </c>
      <c r="F48" s="109">
        <f t="shared" si="8"/>
        <v>1600</v>
      </c>
      <c r="G48" s="61"/>
      <c r="H48" s="107"/>
      <c r="I48" s="107"/>
      <c r="J48" s="107"/>
      <c r="K48" s="107"/>
      <c r="L48" s="107"/>
      <c r="M48" s="107">
        <v>100</v>
      </c>
      <c r="N48" s="107"/>
      <c r="O48" s="107"/>
      <c r="P48" s="107"/>
      <c r="Q48" s="107"/>
      <c r="R48" s="107">
        <v>150</v>
      </c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11">
        <f t="shared" si="13"/>
        <v>250</v>
      </c>
      <c r="AE48" s="112">
        <f>F48+AD48</f>
        <v>1850</v>
      </c>
      <c r="AF48" s="112">
        <v>2050</v>
      </c>
      <c r="AG48" s="56">
        <v>1874</v>
      </c>
    </row>
    <row r="49" spans="1:39" s="8" customFormat="1" x14ac:dyDescent="0.2">
      <c r="A49" s="39" t="s">
        <v>96</v>
      </c>
      <c r="B49" s="40">
        <v>71500</v>
      </c>
      <c r="C49" s="61">
        <v>300</v>
      </c>
      <c r="D49" s="107">
        <v>100</v>
      </c>
      <c r="E49" s="108">
        <v>29000</v>
      </c>
      <c r="F49" s="109">
        <f t="shared" si="8"/>
        <v>29400</v>
      </c>
      <c r="G49" s="61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11">
        <f t="shared" si="13"/>
        <v>0</v>
      </c>
      <c r="AE49" s="112">
        <f>F49+AD49</f>
        <v>29400</v>
      </c>
      <c r="AF49" s="112">
        <v>29400</v>
      </c>
      <c r="AG49" s="56">
        <v>23650</v>
      </c>
    </row>
    <row r="50" spans="1:39" x14ac:dyDescent="0.2">
      <c r="A50" s="116" t="s">
        <v>97</v>
      </c>
      <c r="B50" s="117">
        <v>71502</v>
      </c>
      <c r="C50" s="131">
        <f>+AE50-AD50-SUM(D50:E50)</f>
        <v>872.52251123893461</v>
      </c>
      <c r="D50" s="119">
        <f>SUM(D43:D45)/SUM($AE$43:$AE$45)*$AE$50</f>
        <v>1555.1829038634214</v>
      </c>
      <c r="E50" s="155">
        <f>SUM(E43:E45)/SUM($AE$43:$AE$45)*$AE$50</f>
        <v>298.94024532815882</v>
      </c>
      <c r="F50" s="120">
        <f t="shared" si="8"/>
        <v>2726.6456604305145</v>
      </c>
      <c r="G50" s="119">
        <f>SUM(G43:G45)/SUM($AE$43:$AE$45)*$AE$50</f>
        <v>1147.4669472740311</v>
      </c>
      <c r="H50" s="119">
        <f>SUM(H43:H45)/SUM($AE$43:$AE$45)*$AE$50</f>
        <v>317.11338350166631</v>
      </c>
      <c r="I50" s="119">
        <f>SUM(I43:I45)/SUM($AE$43:$AE$45)*$AE$50</f>
        <v>413.26573650122634</v>
      </c>
      <c r="J50" s="119">
        <f>SUM(J43:J45)/SUM($AE$43:$AE$45)*$AE$50</f>
        <v>16.472102885965494</v>
      </c>
      <c r="K50" s="119"/>
      <c r="L50" s="119">
        <f t="shared" ref="L50:X50" si="14">SUM(L43:L45)/SUM($AE$43:$AE$45)*$AE$50</f>
        <v>27.313435498158984</v>
      </c>
      <c r="M50" s="119">
        <f t="shared" si="14"/>
        <v>5681.5397114034504</v>
      </c>
      <c r="N50" s="119">
        <f t="shared" si="14"/>
        <v>349.58280955279287</v>
      </c>
      <c r="O50" s="140">
        <f t="shared" si="14"/>
        <v>174.79140477639643</v>
      </c>
      <c r="P50" s="140">
        <f t="shared" si="14"/>
        <v>174.79140477639643</v>
      </c>
      <c r="Q50" s="140">
        <f t="shared" si="14"/>
        <v>33.312499999999993</v>
      </c>
      <c r="R50" s="140">
        <f t="shared" si="14"/>
        <v>348.57906424572593</v>
      </c>
      <c r="S50" s="140">
        <f t="shared" si="14"/>
        <v>348.57906424572593</v>
      </c>
      <c r="T50" s="140">
        <f t="shared" si="14"/>
        <v>66.624999999999986</v>
      </c>
      <c r="U50" s="140">
        <f t="shared" si="14"/>
        <v>66.624999999999986</v>
      </c>
      <c r="V50" s="140">
        <f t="shared" si="14"/>
        <v>66.624999999999986</v>
      </c>
      <c r="W50" s="140">
        <f t="shared" si="14"/>
        <v>299.67177490794921</v>
      </c>
      <c r="X50" s="140">
        <f t="shared" si="14"/>
        <v>666.25</v>
      </c>
      <c r="Y50" s="140"/>
      <c r="Z50" s="140">
        <f>SUM(Z43:Z45)/SUM($AE$43:$AE$45)*$AE$50</f>
        <v>66.624999999999986</v>
      </c>
      <c r="AA50" s="140">
        <f>SUM(AA43:AA45)/SUM($AE$43:$AE$45)*$AE$50</f>
        <v>133.24999999999997</v>
      </c>
      <c r="AB50" s="140">
        <f>SUM(AB43:AB45)/SUM($AE$43:$AE$45)*$AE$50</f>
        <v>66.624999999999986</v>
      </c>
      <c r="AC50" s="140">
        <f>SUM(AC43:AC45)/SUM($AE$43:$AE$45)*$AE$50</f>
        <v>133.24999999999997</v>
      </c>
      <c r="AD50" s="146">
        <f t="shared" si="13"/>
        <v>10598.354339569485</v>
      </c>
      <c r="AE50" s="122">
        <v>13325</v>
      </c>
      <c r="AF50" s="122">
        <v>12975</v>
      </c>
      <c r="AG50" s="56">
        <v>13128</v>
      </c>
      <c r="AH50" s="8"/>
    </row>
    <row r="51" spans="1:39" s="8" customFormat="1" x14ac:dyDescent="0.2">
      <c r="A51" s="116" t="s">
        <v>98</v>
      </c>
      <c r="B51" s="117">
        <v>72000</v>
      </c>
      <c r="C51" s="131">
        <f>+AE51-AD51-SUM(D51:E51)</f>
        <v>493.78949999999895</v>
      </c>
      <c r="D51" s="156">
        <f>$AE$51*0.15</f>
        <v>1777.5</v>
      </c>
      <c r="E51" s="156">
        <f>$AE$51*0.05</f>
        <v>592.5</v>
      </c>
      <c r="F51" s="120">
        <f t="shared" si="8"/>
        <v>2863.789499999999</v>
      </c>
      <c r="G51" s="156">
        <f>$AE$51*0.092657</f>
        <v>1097.9854500000001</v>
      </c>
      <c r="H51" s="156">
        <f>$AE$51*0.024446</f>
        <v>289.68509999999998</v>
      </c>
      <c r="I51" s="156">
        <f>$AE$51*0.032897</f>
        <v>389.82945000000001</v>
      </c>
      <c r="J51" s="156"/>
      <c r="K51" s="156"/>
      <c r="L51" s="156">
        <f>$AE$51*0.0025</f>
        <v>29.625</v>
      </c>
      <c r="M51" s="156">
        <f>$AE$51*0.33333</f>
        <v>3949.9605000000001</v>
      </c>
      <c r="N51" s="156">
        <f>$AE$51*0.04</f>
        <v>474</v>
      </c>
      <c r="O51" s="156">
        <f>$AE$51*0.02</f>
        <v>237</v>
      </c>
      <c r="P51" s="156">
        <f>$AE$51*0.02</f>
        <v>237</v>
      </c>
      <c r="Q51" s="156">
        <f>$AE$51*0.01</f>
        <v>118.5</v>
      </c>
      <c r="R51" s="156">
        <f>$AE$51*0.035</f>
        <v>414.75000000000006</v>
      </c>
      <c r="S51" s="156">
        <f>$AE$51*0.035</f>
        <v>414.75000000000006</v>
      </c>
      <c r="T51" s="156">
        <f>$AE$51*0.0025</f>
        <v>29.625</v>
      </c>
      <c r="U51" s="156">
        <f>$AE$51*0.0025</f>
        <v>29.625</v>
      </c>
      <c r="V51" s="156">
        <f>$AE$51*0.0025</f>
        <v>29.625</v>
      </c>
      <c r="W51" s="156">
        <f>$AE$51*0.035</f>
        <v>414.75000000000006</v>
      </c>
      <c r="X51" s="156">
        <f>$AE$51*0.035</f>
        <v>414.75000000000006</v>
      </c>
      <c r="Y51" s="156"/>
      <c r="Z51" s="156">
        <f>$AE$51*0.01</f>
        <v>118.5</v>
      </c>
      <c r="AA51" s="156">
        <f>$AE$51*0.01</f>
        <v>118.5</v>
      </c>
      <c r="AB51" s="156">
        <f>$AE$51*0.005</f>
        <v>59.25</v>
      </c>
      <c r="AC51" s="156">
        <f>$AE$51*0.01</f>
        <v>118.5</v>
      </c>
      <c r="AD51" s="121">
        <f t="shared" si="13"/>
        <v>8986.210500000001</v>
      </c>
      <c r="AE51" s="157">
        <v>11850</v>
      </c>
      <c r="AF51" s="158">
        <v>11850</v>
      </c>
      <c r="AG51" s="159">
        <v>13043</v>
      </c>
    </row>
    <row r="52" spans="1:39" s="8" customFormat="1" x14ac:dyDescent="0.2">
      <c r="A52" s="39" t="s">
        <v>99</v>
      </c>
      <c r="B52" s="40">
        <v>73000</v>
      </c>
      <c r="C52" s="128">
        <f>C88</f>
        <v>15750</v>
      </c>
      <c r="D52" s="114">
        <f>D88</f>
        <v>5550</v>
      </c>
      <c r="E52" s="108"/>
      <c r="F52" s="109">
        <f t="shared" si="8"/>
        <v>21300</v>
      </c>
      <c r="G52" s="61">
        <v>733.26526103824835</v>
      </c>
      <c r="H52" s="107">
        <v>202.64382478069084</v>
      </c>
      <c r="I52" s="107">
        <v>264.09091418106078</v>
      </c>
      <c r="J52" s="107"/>
      <c r="K52" s="107"/>
      <c r="L52" s="107"/>
      <c r="M52" s="107">
        <v>3000</v>
      </c>
      <c r="N52" s="129">
        <v>36000</v>
      </c>
      <c r="O52" s="107">
        <v>10000</v>
      </c>
      <c r="P52" s="107">
        <v>8000</v>
      </c>
      <c r="Q52" s="107"/>
      <c r="R52" s="107"/>
      <c r="S52" s="107"/>
      <c r="T52" s="107"/>
      <c r="U52" s="107">
        <v>150</v>
      </c>
      <c r="V52" s="107"/>
      <c r="W52" s="107"/>
      <c r="X52" s="107"/>
      <c r="Y52" s="107"/>
      <c r="Z52" s="107"/>
      <c r="AA52" s="107"/>
      <c r="AB52" s="107"/>
      <c r="AC52" s="107"/>
      <c r="AD52" s="111">
        <f t="shared" si="13"/>
        <v>58350</v>
      </c>
      <c r="AE52" s="160">
        <f>F52+AD52</f>
        <v>79650</v>
      </c>
      <c r="AF52" s="112">
        <v>78650</v>
      </c>
      <c r="AG52" s="159">
        <v>82985</v>
      </c>
    </row>
    <row r="53" spans="1:39" s="8" customFormat="1" x14ac:dyDescent="0.2">
      <c r="A53" s="65" t="s">
        <v>100</v>
      </c>
      <c r="B53" s="66">
        <v>76000</v>
      </c>
      <c r="C53" s="161"/>
      <c r="D53" s="162"/>
      <c r="E53" s="163">
        <v>18500</v>
      </c>
      <c r="F53" s="109">
        <f t="shared" si="8"/>
        <v>18500</v>
      </c>
      <c r="G53" s="161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11">
        <f t="shared" si="13"/>
        <v>0</v>
      </c>
      <c r="AE53" s="160">
        <f>F53+AD53</f>
        <v>18500</v>
      </c>
      <c r="AF53" s="112">
        <v>19000</v>
      </c>
      <c r="AG53" s="159">
        <v>17042</v>
      </c>
    </row>
    <row r="54" spans="1:39" ht="13.5" thickBot="1" x14ac:dyDescent="0.25">
      <c r="A54" s="30" t="s">
        <v>63</v>
      </c>
      <c r="B54" s="164"/>
      <c r="C54" s="165">
        <f t="shared" ref="C54:X54" si="15">SUM(C16:C53)</f>
        <v>86878.003351079606</v>
      </c>
      <c r="D54" s="165">
        <f t="shared" si="15"/>
        <v>60556.197629880502</v>
      </c>
      <c r="E54" s="165">
        <f t="shared" si="15"/>
        <v>242924.23984313704</v>
      </c>
      <c r="F54" s="166">
        <f t="shared" si="15"/>
        <v>390008.44082409708</v>
      </c>
      <c r="G54" s="167">
        <f t="shared" si="15"/>
        <v>88312.8486835535</v>
      </c>
      <c r="H54" s="167">
        <f t="shared" si="15"/>
        <v>22926.811054084075</v>
      </c>
      <c r="I54" s="167">
        <f t="shared" si="15"/>
        <v>21891.054109790133</v>
      </c>
      <c r="J54" s="167">
        <f t="shared" si="15"/>
        <v>1139.0484522691802</v>
      </c>
      <c r="K54" s="167">
        <f t="shared" si="15"/>
        <v>15325</v>
      </c>
      <c r="L54" s="167">
        <f t="shared" si="15"/>
        <v>2039.2025292061635</v>
      </c>
      <c r="M54" s="167">
        <f t="shared" si="15"/>
        <v>259262.39527308199</v>
      </c>
      <c r="N54" s="167">
        <f t="shared" si="15"/>
        <v>47801.973624842562</v>
      </c>
      <c r="O54" s="167">
        <f t="shared" si="15"/>
        <v>16925.986812421281</v>
      </c>
      <c r="P54" s="167">
        <f t="shared" si="15"/>
        <v>12825.986812421281</v>
      </c>
      <c r="Q54" s="167">
        <f t="shared" si="15"/>
        <v>6722.4399999999987</v>
      </c>
      <c r="R54" s="165">
        <f t="shared" si="15"/>
        <v>18394.73518196226</v>
      </c>
      <c r="S54" s="165">
        <f t="shared" si="15"/>
        <v>16098.801848628929</v>
      </c>
      <c r="T54" s="167">
        <f t="shared" si="15"/>
        <v>1787.5049999999999</v>
      </c>
      <c r="U54" s="167">
        <f t="shared" si="15"/>
        <v>1437.5049999999999</v>
      </c>
      <c r="V54" s="167">
        <f t="shared" si="15"/>
        <v>1287.5049999999999</v>
      </c>
      <c r="W54" s="167">
        <f t="shared" si="15"/>
        <v>10937.846460308181</v>
      </c>
      <c r="X54" s="167">
        <f t="shared" si="15"/>
        <v>39133.149999999994</v>
      </c>
      <c r="Y54" s="167"/>
      <c r="Z54" s="167">
        <f t="shared" ref="Z54:AE54" si="16">SUM(Z16:Z53)</f>
        <v>5376.38</v>
      </c>
      <c r="AA54" s="167">
        <f t="shared" si="16"/>
        <v>2634.2599999999998</v>
      </c>
      <c r="AB54" s="167">
        <f t="shared" si="16"/>
        <v>1267.1299999999999</v>
      </c>
      <c r="AC54" s="167">
        <f t="shared" si="16"/>
        <v>7159.2600000000011</v>
      </c>
      <c r="AD54" s="168">
        <f t="shared" si="16"/>
        <v>600686.82584256958</v>
      </c>
      <c r="AE54" s="169">
        <f t="shared" si="16"/>
        <v>990695.2666666666</v>
      </c>
      <c r="AF54" s="170">
        <v>961139</v>
      </c>
      <c r="AG54" s="171">
        <f>SUM(AG16:AG53)</f>
        <v>946080</v>
      </c>
      <c r="AH54" s="8"/>
    </row>
    <row r="55" spans="1:39" x14ac:dyDescent="0.2">
      <c r="A55" s="91"/>
      <c r="B55" s="91"/>
      <c r="C55" s="172"/>
      <c r="D55" s="173"/>
      <c r="E55" s="174"/>
      <c r="F55" s="175"/>
      <c r="G55" s="176"/>
      <c r="H55" s="177"/>
      <c r="I55" s="177"/>
      <c r="J55" s="177"/>
      <c r="K55" s="177"/>
      <c r="L55" s="177"/>
      <c r="M55" s="173"/>
      <c r="N55" s="177"/>
      <c r="O55" s="177"/>
      <c r="P55" s="177"/>
      <c r="Q55" s="177"/>
      <c r="R55" s="173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8"/>
      <c r="AE55" s="179"/>
      <c r="AF55" s="180"/>
      <c r="AG55" s="181"/>
      <c r="AH55" s="8"/>
    </row>
    <row r="56" spans="1:39" ht="13.5" thickBot="1" x14ac:dyDescent="0.25">
      <c r="A56" s="30" t="s">
        <v>101</v>
      </c>
      <c r="B56" s="30"/>
      <c r="C56" s="182">
        <f t="shared" ref="C56:AE56" si="17">C12-C54</f>
        <v>-86878.003351079606</v>
      </c>
      <c r="D56" s="183">
        <f t="shared" si="17"/>
        <v>158828.80237011949</v>
      </c>
      <c r="E56" s="184">
        <f t="shared" si="17"/>
        <v>-43039.239843137038</v>
      </c>
      <c r="F56" s="185">
        <f t="shared" si="17"/>
        <v>29261.559175902919</v>
      </c>
      <c r="G56" s="182">
        <f t="shared" si="17"/>
        <v>-28793.748683553495</v>
      </c>
      <c r="H56" s="183">
        <f t="shared" si="17"/>
        <v>-2700.3610540840746</v>
      </c>
      <c r="I56" s="183">
        <f t="shared" si="17"/>
        <v>-5532.1541097901318</v>
      </c>
      <c r="J56" s="183">
        <f t="shared" si="17"/>
        <v>-447.60095226918008</v>
      </c>
      <c r="K56" s="183">
        <f t="shared" si="17"/>
        <v>-5.949999999938882E-2</v>
      </c>
      <c r="L56" s="183">
        <f t="shared" si="17"/>
        <v>-39.20252920616349</v>
      </c>
      <c r="M56" s="183">
        <f t="shared" si="17"/>
        <v>-23505.245273081993</v>
      </c>
      <c r="N56" s="183">
        <f t="shared" si="17"/>
        <v>-44037.70812484256</v>
      </c>
      <c r="O56" s="183">
        <f t="shared" si="17"/>
        <v>-16906.767312421282</v>
      </c>
      <c r="P56" s="183">
        <f t="shared" si="17"/>
        <v>-12810.971812421281</v>
      </c>
      <c r="Q56" s="183">
        <f t="shared" si="17"/>
        <v>-5720.0399999999991</v>
      </c>
      <c r="R56" s="183">
        <f t="shared" si="17"/>
        <v>87063.40281803775</v>
      </c>
      <c r="S56" s="183">
        <f t="shared" si="17"/>
        <v>33610.763651371068</v>
      </c>
      <c r="T56" s="183">
        <f t="shared" si="17"/>
        <v>-1787.5049999999999</v>
      </c>
      <c r="U56" s="183">
        <f t="shared" si="17"/>
        <v>-1067.5049999999999</v>
      </c>
      <c r="V56" s="183">
        <f t="shared" si="17"/>
        <v>-1215.857</v>
      </c>
      <c r="W56" s="183">
        <f t="shared" si="17"/>
        <v>-937.84646030818112</v>
      </c>
      <c r="X56" s="183">
        <f t="shared" si="17"/>
        <v>-39133.149999999994</v>
      </c>
      <c r="Y56" s="183">
        <f t="shared" si="17"/>
        <v>0</v>
      </c>
      <c r="Z56" s="183">
        <f t="shared" si="17"/>
        <v>-4659.03</v>
      </c>
      <c r="AA56" s="183">
        <f t="shared" si="17"/>
        <v>1996.44</v>
      </c>
      <c r="AB56" s="183">
        <f t="shared" si="17"/>
        <v>3434.67</v>
      </c>
      <c r="AC56" s="183">
        <f t="shared" si="17"/>
        <v>-2534.2600000000011</v>
      </c>
      <c r="AD56" s="77">
        <f t="shared" si="17"/>
        <v>-65723.73634256958</v>
      </c>
      <c r="AE56" s="79">
        <f t="shared" si="17"/>
        <v>-36462.177166666603</v>
      </c>
      <c r="AF56" s="78">
        <v>-24287.798500000034</v>
      </c>
      <c r="AG56" s="186">
        <f>AG12-AG54</f>
        <v>-27734.420000000042</v>
      </c>
      <c r="AH56" s="8"/>
    </row>
    <row r="57" spans="1:39" ht="14.25" thickTop="1" thickBot="1" x14ac:dyDescent="0.25">
      <c r="A57" s="187" t="s">
        <v>102</v>
      </c>
      <c r="B57" s="81"/>
      <c r="C57" s="188">
        <f>+C56</f>
        <v>-86878.003351079606</v>
      </c>
      <c r="D57" s="189">
        <f>+D56</f>
        <v>158828.80237011949</v>
      </c>
      <c r="E57" s="189">
        <f>+E56</f>
        <v>-43039.239843137038</v>
      </c>
      <c r="F57" s="190">
        <f>SUM(C57:E57)</f>
        <v>28911.559175902847</v>
      </c>
      <c r="G57" s="188">
        <v>0</v>
      </c>
      <c r="H57" s="189">
        <v>0</v>
      </c>
      <c r="I57" s="189">
        <v>0</v>
      </c>
      <c r="J57" s="189">
        <f>J56</f>
        <v>-447.60095226918008</v>
      </c>
      <c r="K57" s="189">
        <v>0</v>
      </c>
      <c r="L57" s="189">
        <f>L56</f>
        <v>-39.20252920616349</v>
      </c>
      <c r="M57" s="189">
        <v>0</v>
      </c>
      <c r="N57" s="189">
        <f>N12-N54</f>
        <v>-44037.70812484256</v>
      </c>
      <c r="O57" s="189">
        <f>O12-O54</f>
        <v>-16906.767312421282</v>
      </c>
      <c r="P57" s="189">
        <f>P12-P54</f>
        <v>-12810.971812421281</v>
      </c>
      <c r="Q57" s="189">
        <f>Q56</f>
        <v>-5720.0399999999991</v>
      </c>
      <c r="R57" s="189">
        <f>+R56</f>
        <v>87063.40281803775</v>
      </c>
      <c r="S57" s="189">
        <f>+S56</f>
        <v>33610.763651371068</v>
      </c>
      <c r="T57" s="189">
        <f>T12-T54</f>
        <v>-1787.5049999999999</v>
      </c>
      <c r="U57" s="189"/>
      <c r="V57" s="189">
        <f>V12-V54</f>
        <v>-1215.857</v>
      </c>
      <c r="W57" s="189">
        <f>W12-W54</f>
        <v>-937.84646030818112</v>
      </c>
      <c r="X57" s="189">
        <f>X12-X54</f>
        <v>-39133.149999999994</v>
      </c>
      <c r="Y57" s="189">
        <f>Y12-Y54</f>
        <v>0</v>
      </c>
      <c r="Z57" s="191">
        <v>0</v>
      </c>
      <c r="AA57" s="189">
        <v>0</v>
      </c>
      <c r="AB57" s="189">
        <v>0</v>
      </c>
      <c r="AC57" s="189">
        <f>AC12-AC54</f>
        <v>-2534.2600000000011</v>
      </c>
      <c r="AD57" s="192">
        <f>SUM(G57:AC57)</f>
        <v>-4896.7427220598101</v>
      </c>
      <c r="AE57" s="193">
        <f>+F57+AD57</f>
        <v>24014.816453843036</v>
      </c>
      <c r="AF57" s="194">
        <v>8678.1319337422119</v>
      </c>
      <c r="AG57" s="195"/>
      <c r="AH57" s="8"/>
    </row>
    <row r="58" spans="1:39" ht="13.5" thickTop="1" x14ac:dyDescent="0.2">
      <c r="A58" s="196" t="s">
        <v>103</v>
      </c>
      <c r="B58" s="197"/>
      <c r="C58" s="198"/>
      <c r="D58" s="198"/>
      <c r="E58" s="198"/>
      <c r="F58" s="198"/>
      <c r="G58" s="199">
        <f t="shared" ref="G58:AC58" si="18">G70</f>
        <v>600232</v>
      </c>
      <c r="H58" s="199">
        <f t="shared" si="18"/>
        <v>165879</v>
      </c>
      <c r="I58" s="199">
        <f t="shared" si="18"/>
        <v>216178</v>
      </c>
      <c r="J58" s="199">
        <f t="shared" si="18"/>
        <v>0</v>
      </c>
      <c r="K58" s="199">
        <f t="shared" si="18"/>
        <v>1341</v>
      </c>
      <c r="L58" s="199">
        <f t="shared" si="18"/>
        <v>0</v>
      </c>
      <c r="M58" s="199">
        <f t="shared" si="18"/>
        <v>275143</v>
      </c>
      <c r="N58" s="199">
        <f t="shared" si="18"/>
        <v>0</v>
      </c>
      <c r="O58" s="199">
        <f t="shared" si="18"/>
        <v>0</v>
      </c>
      <c r="P58" s="199">
        <f t="shared" si="18"/>
        <v>0</v>
      </c>
      <c r="Q58" s="199">
        <f t="shared" si="18"/>
        <v>20048</v>
      </c>
      <c r="R58" s="199">
        <f t="shared" si="18"/>
        <v>0</v>
      </c>
      <c r="S58" s="199">
        <f t="shared" si="18"/>
        <v>0</v>
      </c>
      <c r="T58" s="199">
        <f t="shared" si="18"/>
        <v>0</v>
      </c>
      <c r="U58" s="199">
        <f t="shared" si="18"/>
        <v>7400</v>
      </c>
      <c r="V58" s="199">
        <f t="shared" si="18"/>
        <v>0</v>
      </c>
      <c r="W58" s="199">
        <f t="shared" si="18"/>
        <v>0</v>
      </c>
      <c r="X58" s="199">
        <f t="shared" si="18"/>
        <v>0</v>
      </c>
      <c r="Y58" s="199">
        <f t="shared" si="18"/>
        <v>0</v>
      </c>
      <c r="Z58" s="199">
        <f t="shared" si="18"/>
        <v>14347</v>
      </c>
      <c r="AA58" s="199">
        <f t="shared" si="18"/>
        <v>9767</v>
      </c>
      <c r="AB58" s="199">
        <f t="shared" si="18"/>
        <v>94036</v>
      </c>
      <c r="AC58" s="199">
        <f t="shared" si="18"/>
        <v>0</v>
      </c>
      <c r="AD58" s="200"/>
      <c r="AE58" s="201">
        <f>SUM(G58:AD58)</f>
        <v>1404371</v>
      </c>
      <c r="AF58" s="202"/>
      <c r="AG58" s="8"/>
      <c r="AH58" s="8"/>
    </row>
    <row r="59" spans="1:39" ht="13.5" thickBot="1" x14ac:dyDescent="0.25">
      <c r="A59" s="203" t="s">
        <v>104</v>
      </c>
      <c r="B59" s="204"/>
      <c r="C59" s="205"/>
      <c r="D59" s="205"/>
      <c r="E59" s="205"/>
      <c r="F59" s="205"/>
      <c r="G59" s="206">
        <f>G56-G57+G58</f>
        <v>571438.25131644646</v>
      </c>
      <c r="H59" s="206">
        <f>H56-H57+H58</f>
        <v>163178.63894591591</v>
      </c>
      <c r="I59" s="206">
        <f>I56-I57+I58</f>
        <v>210645.84589020986</v>
      </c>
      <c r="J59" s="206"/>
      <c r="K59" s="206">
        <f>K56-K57+K58</f>
        <v>1340.9405000000006</v>
      </c>
      <c r="L59" s="206"/>
      <c r="M59" s="206">
        <f t="shared" ref="M59:AC59" si="19">M56-M57+M58</f>
        <v>251637.75472691801</v>
      </c>
      <c r="N59" s="207">
        <f t="shared" si="19"/>
        <v>0</v>
      </c>
      <c r="O59" s="207">
        <f t="shared" si="19"/>
        <v>0</v>
      </c>
      <c r="P59" s="207">
        <f t="shared" si="19"/>
        <v>0</v>
      </c>
      <c r="Q59" s="206">
        <f t="shared" si="19"/>
        <v>20048</v>
      </c>
      <c r="R59" s="206">
        <f t="shared" si="19"/>
        <v>0</v>
      </c>
      <c r="S59" s="206">
        <f t="shared" si="19"/>
        <v>0</v>
      </c>
      <c r="T59" s="206">
        <f t="shared" si="19"/>
        <v>0</v>
      </c>
      <c r="U59" s="206">
        <f t="shared" si="19"/>
        <v>6332.4949999999999</v>
      </c>
      <c r="V59" s="206">
        <f t="shared" si="19"/>
        <v>0</v>
      </c>
      <c r="W59" s="206">
        <f t="shared" si="19"/>
        <v>0</v>
      </c>
      <c r="X59" s="206">
        <f t="shared" si="19"/>
        <v>0</v>
      </c>
      <c r="Y59" s="206">
        <f t="shared" si="19"/>
        <v>0</v>
      </c>
      <c r="Z59" s="206">
        <f t="shared" si="19"/>
        <v>9687.9700000000012</v>
      </c>
      <c r="AA59" s="206">
        <f t="shared" si="19"/>
        <v>11763.44</v>
      </c>
      <c r="AB59" s="206">
        <f t="shared" si="19"/>
        <v>97470.67</v>
      </c>
      <c r="AC59" s="207">
        <f t="shared" si="19"/>
        <v>0</v>
      </c>
      <c r="AD59" s="208"/>
      <c r="AE59" s="209">
        <f>SUM(G59:AD59)</f>
        <v>1343544.0063794903</v>
      </c>
      <c r="AF59" s="202"/>
      <c r="AG59" s="8"/>
      <c r="AH59" s="8"/>
    </row>
    <row r="60" spans="1:39" ht="13.5" thickTop="1" x14ac:dyDescent="0.2">
      <c r="A60" s="210" t="s">
        <v>105</v>
      </c>
      <c r="B60" s="211"/>
      <c r="C60" s="212"/>
      <c r="D60" s="212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02"/>
      <c r="AA60" s="213"/>
      <c r="AB60" s="213"/>
      <c r="AC60" s="213"/>
      <c r="AD60" s="202"/>
      <c r="AE60" s="214">
        <v>-413500</v>
      </c>
      <c r="AF60" s="202" t="s">
        <v>106</v>
      </c>
      <c r="AG60" s="8"/>
      <c r="AH60" s="8"/>
    </row>
    <row r="61" spans="1:39" ht="13.5" thickBot="1" x14ac:dyDescent="0.25">
      <c r="A61" s="215" t="s">
        <v>107</v>
      </c>
      <c r="B61" s="216"/>
      <c r="C61" s="217"/>
      <c r="D61" s="217"/>
      <c r="E61" s="218"/>
      <c r="F61" s="8"/>
      <c r="G61" s="219" t="s">
        <v>108</v>
      </c>
      <c r="H61" s="220"/>
      <c r="I61" s="219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  <c r="AB61" s="218"/>
      <c r="AC61" s="218"/>
      <c r="AD61" s="218"/>
      <c r="AE61" s="221">
        <f>AE60+AE57</f>
        <v>-389485.18354615697</v>
      </c>
      <c r="AF61" s="218"/>
      <c r="AG61" s="218"/>
      <c r="AH61" s="8"/>
      <c r="AI61" s="8"/>
      <c r="AJ61" s="8"/>
      <c r="AK61" s="8"/>
      <c r="AL61" s="8"/>
      <c r="AM61" s="8"/>
    </row>
    <row r="62" spans="1:39" ht="18" customHeight="1" thickTop="1" x14ac:dyDescent="0.2">
      <c r="A62" s="222" t="s">
        <v>109</v>
      </c>
      <c r="B62" s="91"/>
      <c r="C62" s="91"/>
      <c r="D62" s="91"/>
      <c r="E62" s="33"/>
      <c r="F62" s="223"/>
      <c r="G62" s="224">
        <f>G71/SUM($G$71:$I$71)</f>
        <v>0.6110543841985403</v>
      </c>
      <c r="H62" s="224">
        <f>H71/SUM($G$71:$I$71)</f>
        <v>0.16886985398390902</v>
      </c>
      <c r="I62" s="224">
        <f>I71/SUM($G$71:$I$71)</f>
        <v>0.22007576181755065</v>
      </c>
      <c r="J62" s="33"/>
      <c r="K62" s="33"/>
      <c r="L62" s="33"/>
      <c r="M62" s="33"/>
      <c r="N62" s="33">
        <v>44000</v>
      </c>
      <c r="O62" s="33">
        <v>3200</v>
      </c>
      <c r="P62" s="33">
        <v>2500</v>
      </c>
      <c r="Q62" s="33">
        <f>SUM(N62:P62)</f>
        <v>49700</v>
      </c>
      <c r="R62" s="91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225"/>
      <c r="AF62" s="33"/>
      <c r="AG62" s="33"/>
      <c r="AH62" s="8"/>
      <c r="AI62" s="8"/>
    </row>
    <row r="63" spans="1:39" ht="13.5" customHeight="1" x14ac:dyDescent="0.2">
      <c r="A63" s="8"/>
      <c r="B63" s="91"/>
      <c r="C63" s="91"/>
      <c r="D63" s="91"/>
      <c r="E63" s="33"/>
      <c r="F63" s="223">
        <v>1200</v>
      </c>
      <c r="G63" s="226">
        <f>F63*G62</f>
        <v>733.26526103824835</v>
      </c>
      <c r="H63" s="226">
        <f>F63*H62</f>
        <v>202.64382478069084</v>
      </c>
      <c r="I63" s="226">
        <f>F63*I62</f>
        <v>264.09091418106078</v>
      </c>
      <c r="J63" s="33"/>
      <c r="K63" s="33"/>
      <c r="L63" s="33"/>
      <c r="M63" s="33"/>
      <c r="N63" s="227">
        <f>N62/$Q$62</f>
        <v>0.88531187122736421</v>
      </c>
      <c r="O63" s="227">
        <f>O62/$Q$62</f>
        <v>6.4386317907444673E-2</v>
      </c>
      <c r="P63" s="227">
        <f>P62/$Q$62</f>
        <v>5.030181086519115E-2</v>
      </c>
      <c r="Q63" s="33"/>
      <c r="R63" s="91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8"/>
      <c r="AI63" s="8"/>
    </row>
    <row r="64" spans="1:39" ht="13.5" thickBot="1" x14ac:dyDescent="0.25">
      <c r="A64" s="8" t="s">
        <v>110</v>
      </c>
      <c r="B64" s="8"/>
      <c r="C64" s="228">
        <v>19500</v>
      </c>
      <c r="D64" s="91"/>
      <c r="E64" s="91"/>
      <c r="F64" s="91"/>
      <c r="J64" s="8"/>
      <c r="K64" s="8"/>
      <c r="L64" s="8"/>
      <c r="M64" s="8">
        <v>5970</v>
      </c>
      <c r="N64" s="223">
        <f>$M$64*N63</f>
        <v>5285.3118712273645</v>
      </c>
      <c r="O64" s="223">
        <f>$M$64*O63</f>
        <v>384.38631790744472</v>
      </c>
      <c r="P64" s="223">
        <f>$M$64*P63</f>
        <v>300.30181086519116</v>
      </c>
      <c r="Q64" s="223">
        <f>SUM(N64:P64)</f>
        <v>5970.0000000000009</v>
      </c>
      <c r="R64" s="91"/>
      <c r="S64" s="91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7" ht="13.5" thickTop="1" x14ac:dyDescent="0.2">
      <c r="A65" s="8" t="s">
        <v>111</v>
      </c>
      <c r="B65" s="8"/>
      <c r="C65" s="229" t="s">
        <v>112</v>
      </c>
      <c r="D65" s="91"/>
      <c r="E65" s="91"/>
      <c r="F65" s="91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91"/>
      <c r="S65" s="91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7" x14ac:dyDescent="0.2">
      <c r="A66" s="8"/>
      <c r="B66" s="8"/>
      <c r="C66" s="229"/>
      <c r="D66" s="91"/>
      <c r="E66" s="91"/>
      <c r="F66" s="91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91"/>
      <c r="S66" s="91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7" x14ac:dyDescent="0.2">
      <c r="A67" s="8" t="s">
        <v>113</v>
      </c>
      <c r="B67" s="8"/>
      <c r="C67" s="25" t="s">
        <v>0</v>
      </c>
      <c r="D67" s="25" t="s">
        <v>1</v>
      </c>
      <c r="E67" s="25" t="s">
        <v>2</v>
      </c>
      <c r="F67" s="25"/>
      <c r="G67" s="230" t="s">
        <v>33</v>
      </c>
      <c r="H67" s="230" t="s">
        <v>5</v>
      </c>
      <c r="I67" s="230" t="s">
        <v>6</v>
      </c>
      <c r="J67" s="230" t="s">
        <v>7</v>
      </c>
      <c r="K67" s="25" t="s">
        <v>8</v>
      </c>
      <c r="L67" s="25" t="s">
        <v>9</v>
      </c>
      <c r="M67" s="25" t="s">
        <v>10</v>
      </c>
      <c r="N67" s="25" t="s">
        <v>11</v>
      </c>
      <c r="O67" s="25" t="s">
        <v>11</v>
      </c>
      <c r="P67" s="25" t="s">
        <v>11</v>
      </c>
      <c r="Q67" s="25"/>
      <c r="R67" s="25" t="s">
        <v>13</v>
      </c>
      <c r="S67" s="230" t="s">
        <v>14</v>
      </c>
      <c r="T67" s="25" t="s">
        <v>15</v>
      </c>
      <c r="U67" s="230" t="s">
        <v>16</v>
      </c>
      <c r="V67" s="230" t="s">
        <v>17</v>
      </c>
      <c r="W67" s="25" t="s">
        <v>18</v>
      </c>
      <c r="X67" s="25" t="s">
        <v>19</v>
      </c>
      <c r="Y67" s="230" t="s">
        <v>114</v>
      </c>
      <c r="Z67" s="25" t="s">
        <v>21</v>
      </c>
      <c r="AA67" s="25" t="s">
        <v>22</v>
      </c>
      <c r="AB67" s="25" t="s">
        <v>22</v>
      </c>
      <c r="AC67" s="25" t="s">
        <v>23</v>
      </c>
      <c r="AD67" s="25" t="s">
        <v>24</v>
      </c>
      <c r="AE67" s="8"/>
      <c r="AF67" s="8"/>
      <c r="AG67" s="8"/>
      <c r="AH67" s="8"/>
      <c r="AI67" s="8"/>
      <c r="AJ67" s="8"/>
      <c r="AK67" s="8"/>
    </row>
    <row r="68" spans="1:37" ht="13.5" thickBot="1" x14ac:dyDescent="0.25">
      <c r="A68" s="231" t="s">
        <v>115</v>
      </c>
      <c r="B68" s="8"/>
      <c r="C68" s="232" t="s">
        <v>29</v>
      </c>
      <c r="D68" s="232"/>
      <c r="E68" s="232"/>
      <c r="F68" s="232"/>
      <c r="G68" s="233" t="s">
        <v>31</v>
      </c>
      <c r="H68" s="233" t="s">
        <v>31</v>
      </c>
      <c r="I68" s="233" t="s">
        <v>31</v>
      </c>
      <c r="J68" s="233" t="s">
        <v>31</v>
      </c>
      <c r="K68" s="232" t="s">
        <v>31</v>
      </c>
      <c r="L68" s="232" t="s">
        <v>31</v>
      </c>
      <c r="M68" s="232" t="s">
        <v>32</v>
      </c>
      <c r="N68" s="232" t="s">
        <v>33</v>
      </c>
      <c r="O68" s="232" t="s">
        <v>5</v>
      </c>
      <c r="P68" s="232" t="s">
        <v>6</v>
      </c>
      <c r="Q68" s="232"/>
      <c r="R68" s="232" t="s">
        <v>35</v>
      </c>
      <c r="S68" s="233" t="s">
        <v>36</v>
      </c>
      <c r="T68" s="232" t="s">
        <v>37</v>
      </c>
      <c r="U68" s="233" t="s">
        <v>38</v>
      </c>
      <c r="V68" s="233" t="s">
        <v>39</v>
      </c>
      <c r="W68" s="232" t="s">
        <v>40</v>
      </c>
      <c r="X68" s="232" t="s">
        <v>41</v>
      </c>
      <c r="Y68" s="233" t="s">
        <v>116</v>
      </c>
      <c r="Z68" s="232" t="s">
        <v>43</v>
      </c>
      <c r="AA68" s="232" t="s">
        <v>44</v>
      </c>
      <c r="AB68" s="232" t="s">
        <v>45</v>
      </c>
      <c r="AC68" s="232" t="s">
        <v>46</v>
      </c>
      <c r="AD68" s="232" t="s">
        <v>30</v>
      </c>
      <c r="AE68" s="8"/>
      <c r="AF68" s="8"/>
      <c r="AG68" s="8"/>
      <c r="AH68" s="8"/>
      <c r="AI68" s="8"/>
      <c r="AJ68" s="8"/>
      <c r="AK68" s="8"/>
    </row>
    <row r="69" spans="1:37" x14ac:dyDescent="0.2">
      <c r="A69" s="8" t="s">
        <v>117</v>
      </c>
      <c r="B69" s="8"/>
      <c r="C69" s="234"/>
      <c r="D69" s="234"/>
      <c r="E69" s="235"/>
      <c r="F69" s="236"/>
      <c r="G69" s="237"/>
      <c r="H69" s="237"/>
      <c r="I69" s="237"/>
      <c r="J69" s="238">
        <v>13828.95</v>
      </c>
      <c r="K69" s="239">
        <v>305157.81</v>
      </c>
      <c r="L69" s="239">
        <v>40000</v>
      </c>
      <c r="M69" s="239"/>
      <c r="N69" s="240">
        <v>5285.31</v>
      </c>
      <c r="O69" s="240">
        <v>384.39</v>
      </c>
      <c r="P69" s="240">
        <v>300.3</v>
      </c>
      <c r="Q69" s="239"/>
      <c r="R69" s="237">
        <v>1139162.76</v>
      </c>
      <c r="S69" s="237">
        <v>194191.31</v>
      </c>
      <c r="T69" s="239"/>
      <c r="U69" s="237"/>
      <c r="V69" s="237">
        <v>1432.96</v>
      </c>
      <c r="W69" s="241"/>
      <c r="X69" s="241"/>
      <c r="Y69" s="237">
        <v>21921.74</v>
      </c>
      <c r="Z69" s="237"/>
      <c r="AA69" s="238">
        <v>82847</v>
      </c>
      <c r="AB69" s="238"/>
      <c r="AC69" s="239"/>
      <c r="AD69" s="242"/>
      <c r="AE69" s="239">
        <f>SUM(E69:AD69)</f>
        <v>1804512.53</v>
      </c>
      <c r="AF69" s="8"/>
      <c r="AG69" s="8"/>
      <c r="AH69" s="8"/>
      <c r="AI69" s="8"/>
      <c r="AJ69" s="8"/>
      <c r="AK69" s="8"/>
    </row>
    <row r="70" spans="1:37" x14ac:dyDescent="0.2">
      <c r="A70" s="8" t="s">
        <v>118</v>
      </c>
      <c r="B70" s="8"/>
      <c r="C70" s="234"/>
      <c r="D70" s="234"/>
      <c r="E70" s="243"/>
      <c r="F70" s="244"/>
      <c r="G70" s="238">
        <v>600232</v>
      </c>
      <c r="H70" s="238">
        <v>165879</v>
      </c>
      <c r="I70" s="238">
        <v>216178</v>
      </c>
      <c r="J70" s="237"/>
      <c r="K70" s="239">
        <v>1341</v>
      </c>
      <c r="L70" s="239"/>
      <c r="M70" s="239">
        <v>275143</v>
      </c>
      <c r="N70" s="241"/>
      <c r="O70" s="241"/>
      <c r="P70" s="241"/>
      <c r="Q70" s="239">
        <v>20048</v>
      </c>
      <c r="R70" s="237"/>
      <c r="S70" s="237"/>
      <c r="T70" s="239"/>
      <c r="U70" s="237">
        <v>7400</v>
      </c>
      <c r="V70" s="237"/>
      <c r="W70" s="241"/>
      <c r="X70" s="241"/>
      <c r="Y70" s="237"/>
      <c r="Z70" s="237">
        <v>14347</v>
      </c>
      <c r="AA70" s="239">
        <v>9767</v>
      </c>
      <c r="AB70" s="239">
        <v>94036</v>
      </c>
      <c r="AC70" s="239"/>
      <c r="AD70" s="242"/>
      <c r="AE70" s="239">
        <f>SUM(E70:AD70)</f>
        <v>1404371</v>
      </c>
      <c r="AF70" s="8"/>
      <c r="AG70" s="8"/>
      <c r="AH70" s="8"/>
      <c r="AI70" s="8"/>
      <c r="AJ70" s="8"/>
      <c r="AK70" s="8"/>
    </row>
    <row r="71" spans="1:37" ht="13.5" thickBot="1" x14ac:dyDescent="0.25">
      <c r="A71" s="8" t="s">
        <v>119</v>
      </c>
      <c r="B71" s="8"/>
      <c r="C71" s="234"/>
      <c r="D71" s="234"/>
      <c r="E71" s="245">
        <f>E69+E70</f>
        <v>0</v>
      </c>
      <c r="F71" s="246"/>
      <c r="G71" s="247">
        <f t="shared" ref="G71:P71" si="20">G69+G70</f>
        <v>600232</v>
      </c>
      <c r="H71" s="247">
        <f t="shared" si="20"/>
        <v>165879</v>
      </c>
      <c r="I71" s="247">
        <f t="shared" si="20"/>
        <v>216178</v>
      </c>
      <c r="J71" s="247">
        <f t="shared" si="20"/>
        <v>13828.95</v>
      </c>
      <c r="K71" s="247">
        <f t="shared" si="20"/>
        <v>306498.81</v>
      </c>
      <c r="L71" s="247">
        <f t="shared" si="20"/>
        <v>40000</v>
      </c>
      <c r="M71" s="247">
        <f t="shared" si="20"/>
        <v>275143</v>
      </c>
      <c r="N71" s="247">
        <f t="shared" si="20"/>
        <v>5285.31</v>
      </c>
      <c r="O71" s="247">
        <f t="shared" si="20"/>
        <v>384.39</v>
      </c>
      <c r="P71" s="247">
        <f t="shared" si="20"/>
        <v>300.3</v>
      </c>
      <c r="Q71" s="247">
        <f>SUM(Q69:Q70)</f>
        <v>20048</v>
      </c>
      <c r="R71" s="247">
        <f t="shared" ref="R71:AB71" si="21">R69+R70</f>
        <v>1139162.76</v>
      </c>
      <c r="S71" s="247">
        <f t="shared" si="21"/>
        <v>194191.31</v>
      </c>
      <c r="T71" s="247">
        <f t="shared" si="21"/>
        <v>0</v>
      </c>
      <c r="U71" s="247">
        <f t="shared" si="21"/>
        <v>7400</v>
      </c>
      <c r="V71" s="247">
        <f t="shared" si="21"/>
        <v>1432.96</v>
      </c>
      <c r="W71" s="248">
        <f t="shared" si="21"/>
        <v>0</v>
      </c>
      <c r="X71" s="248">
        <f t="shared" si="21"/>
        <v>0</v>
      </c>
      <c r="Y71" s="247">
        <f t="shared" si="21"/>
        <v>21921.74</v>
      </c>
      <c r="Z71" s="247">
        <f t="shared" si="21"/>
        <v>14347</v>
      </c>
      <c r="AA71" s="247">
        <f t="shared" si="21"/>
        <v>92614</v>
      </c>
      <c r="AB71" s="247">
        <f t="shared" si="21"/>
        <v>94036</v>
      </c>
      <c r="AC71" s="249"/>
      <c r="AD71" s="250"/>
      <c r="AE71" s="239">
        <f>SUM(E71:AD71)</f>
        <v>3208883.5300000003</v>
      </c>
      <c r="AF71" s="8"/>
      <c r="AG71" s="8"/>
      <c r="AH71" s="8"/>
      <c r="AI71" s="8"/>
      <c r="AJ71" s="8"/>
      <c r="AK71" s="8"/>
    </row>
    <row r="72" spans="1:37" ht="14.25" thickTop="1" thickBot="1" x14ac:dyDescent="0.25">
      <c r="A72" s="8" t="s">
        <v>120</v>
      </c>
      <c r="B72" s="8"/>
      <c r="C72" s="234"/>
      <c r="D72" s="234"/>
      <c r="E72" s="251">
        <f>E71*0.055</f>
        <v>0</v>
      </c>
      <c r="F72" s="244"/>
      <c r="G72" s="252">
        <f t="shared" ref="G72:V72" si="22">G71*0.05</f>
        <v>30011.600000000002</v>
      </c>
      <c r="H72" s="252">
        <f t="shared" si="22"/>
        <v>8293.9500000000007</v>
      </c>
      <c r="I72" s="252">
        <f t="shared" si="22"/>
        <v>10808.900000000001</v>
      </c>
      <c r="J72" s="252">
        <f t="shared" si="22"/>
        <v>691.4475000000001</v>
      </c>
      <c r="K72" s="252">
        <f t="shared" si="22"/>
        <v>15324.940500000001</v>
      </c>
      <c r="L72" s="252">
        <f t="shared" si="22"/>
        <v>2000</v>
      </c>
      <c r="M72" s="252">
        <f t="shared" si="22"/>
        <v>13757.150000000001</v>
      </c>
      <c r="N72" s="252">
        <f t="shared" si="22"/>
        <v>264.26550000000003</v>
      </c>
      <c r="O72" s="252">
        <f t="shared" si="22"/>
        <v>19.2195</v>
      </c>
      <c r="P72" s="252">
        <f t="shared" si="22"/>
        <v>15.015000000000001</v>
      </c>
      <c r="Q72" s="252">
        <f t="shared" si="22"/>
        <v>1002.4000000000001</v>
      </c>
      <c r="R72" s="252">
        <f t="shared" si="22"/>
        <v>56958.138000000006</v>
      </c>
      <c r="S72" s="252">
        <f t="shared" si="22"/>
        <v>9709.5655000000006</v>
      </c>
      <c r="T72" s="252">
        <f t="shared" si="22"/>
        <v>0</v>
      </c>
      <c r="U72" s="252">
        <f t="shared" si="22"/>
        <v>370</v>
      </c>
      <c r="V72" s="252">
        <f t="shared" si="22"/>
        <v>71.64800000000001</v>
      </c>
      <c r="W72" s="253"/>
      <c r="X72" s="253"/>
      <c r="Y72" s="252"/>
      <c r="Z72" s="252">
        <f>Z71*0.05</f>
        <v>717.35</v>
      </c>
      <c r="AA72" s="252">
        <f>AA71*0.05</f>
        <v>4630.7</v>
      </c>
      <c r="AB72" s="252">
        <f>AB71*0.05</f>
        <v>4701.8</v>
      </c>
      <c r="AC72" s="252"/>
      <c r="AD72" s="254"/>
      <c r="AE72" s="252">
        <f>SUM(E72:AD72)</f>
        <v>159348.0895</v>
      </c>
      <c r="AF72" s="8"/>
      <c r="AG72" s="8"/>
      <c r="AH72" s="8"/>
      <c r="AI72" s="8"/>
      <c r="AJ72" s="8"/>
      <c r="AK72" s="8"/>
    </row>
    <row r="73" spans="1:37" ht="13.5" thickTop="1" x14ac:dyDescent="0.2">
      <c r="A73" s="8"/>
      <c r="B73" s="8"/>
      <c r="C73" s="8"/>
      <c r="D73" s="8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91"/>
      <c r="AE73" s="256"/>
      <c r="AF73" s="8"/>
      <c r="AG73" s="8"/>
      <c r="AH73" s="8"/>
    </row>
    <row r="74" spans="1:37" x14ac:dyDescent="0.2">
      <c r="A74" s="8"/>
      <c r="B74" s="8"/>
      <c r="C74" s="8"/>
      <c r="D74" s="8"/>
      <c r="E74" s="8"/>
      <c r="F74" s="8"/>
      <c r="G74" s="219" t="s">
        <v>108</v>
      </c>
      <c r="H74" s="220"/>
      <c r="I74" s="219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AC74" s="8"/>
      <c r="AD74" s="8"/>
      <c r="AE74" s="8"/>
      <c r="AF74" s="8"/>
      <c r="AG74" s="8"/>
      <c r="AH74" s="8"/>
    </row>
    <row r="75" spans="1:37" x14ac:dyDescent="0.2">
      <c r="B75" s="8"/>
      <c r="C75" s="8"/>
      <c r="D75" s="8"/>
      <c r="E75" s="223"/>
      <c r="F75" s="223"/>
      <c r="G75" s="224">
        <f>G71/SUM($G$71:$I$71)</f>
        <v>0.6110543841985403</v>
      </c>
      <c r="H75" s="224">
        <f>H71/SUM($G$71:$I$71)</f>
        <v>0.16886985398390902</v>
      </c>
      <c r="I75" s="224">
        <f>I71/SUM($G$71:$I$71)</f>
        <v>0.22007576181755065</v>
      </c>
      <c r="J75" s="8"/>
      <c r="K75" s="226">
        <v>165879.23909729239</v>
      </c>
      <c r="L75" s="226">
        <v>600231.51943335356</v>
      </c>
      <c r="M75" s="226">
        <v>216177.72856124071</v>
      </c>
      <c r="N75" s="8"/>
      <c r="O75" s="8"/>
      <c r="P75" s="8"/>
      <c r="Q75" s="8"/>
      <c r="R75" s="223"/>
      <c r="S75" s="223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</row>
    <row r="76" spans="1:37" x14ac:dyDescent="0.2">
      <c r="A76" s="257" t="s">
        <v>121</v>
      </c>
      <c r="B76" s="8"/>
      <c r="C76" s="8"/>
      <c r="D76" s="8"/>
      <c r="E76" s="223"/>
      <c r="F76" s="223">
        <v>307</v>
      </c>
      <c r="G76" s="226">
        <f>F76*G75</f>
        <v>187.59369594895188</v>
      </c>
      <c r="H76" s="226">
        <f>F76*H75</f>
        <v>51.843045173060069</v>
      </c>
      <c r="I76" s="226">
        <f>F76*I75</f>
        <v>67.563258877988048</v>
      </c>
      <c r="J76" s="8"/>
      <c r="K76" s="8"/>
      <c r="L76" s="8"/>
      <c r="M76" s="8"/>
      <c r="N76" s="8"/>
      <c r="O76" s="8"/>
      <c r="P76" s="8"/>
      <c r="Q76" s="8"/>
      <c r="R76" s="223"/>
      <c r="S76" s="223"/>
      <c r="T76" s="8"/>
      <c r="U76" s="8"/>
      <c r="V76" s="8"/>
      <c r="W76" s="8"/>
      <c r="X76" s="8"/>
      <c r="Y76" s="8"/>
      <c r="Z76" s="8"/>
      <c r="AA76" s="226"/>
      <c r="AB76" s="226"/>
      <c r="AC76" s="8"/>
      <c r="AD76" s="8"/>
      <c r="AE76" s="8"/>
      <c r="AF76" s="8"/>
      <c r="AG76" s="8"/>
      <c r="AH76" s="8"/>
    </row>
    <row r="77" spans="1:37" x14ac:dyDescent="0.2">
      <c r="A77" s="30"/>
      <c r="B77" s="8"/>
      <c r="C77" s="8"/>
      <c r="D77" s="8"/>
      <c r="E77" s="223"/>
      <c r="F77" s="223"/>
      <c r="G77" s="223"/>
      <c r="H77" s="226"/>
      <c r="I77" s="223"/>
      <c r="J77" s="8"/>
      <c r="K77" s="8"/>
      <c r="L77" s="8"/>
      <c r="M77" s="8"/>
      <c r="N77" s="8"/>
      <c r="O77" s="8"/>
      <c r="P77" s="8"/>
      <c r="Q77" s="8"/>
      <c r="R77" s="223"/>
      <c r="S77" s="223"/>
      <c r="T77" s="8"/>
      <c r="U77" s="8"/>
      <c r="V77" s="8"/>
      <c r="W77" s="8"/>
      <c r="X77" s="8"/>
      <c r="Y77" s="8"/>
      <c r="AC77" s="8"/>
      <c r="AD77" s="8"/>
      <c r="AE77" s="8"/>
      <c r="AF77" s="8"/>
      <c r="AG77" s="8"/>
      <c r="AH77" s="8"/>
    </row>
    <row r="78" spans="1:37" x14ac:dyDescent="0.2">
      <c r="A78" s="258" t="s">
        <v>122</v>
      </c>
      <c r="B78" s="8"/>
      <c r="C78" s="226">
        <v>7500</v>
      </c>
      <c r="D78" s="8"/>
      <c r="E78" s="223"/>
      <c r="F78" s="223"/>
      <c r="G78" s="223"/>
      <c r="H78" s="223"/>
      <c r="I78" s="223"/>
      <c r="J78" s="8"/>
      <c r="K78" s="8"/>
      <c r="L78" s="8"/>
      <c r="M78" s="8"/>
      <c r="N78" s="8"/>
      <c r="O78" s="8"/>
      <c r="P78" s="8"/>
      <c r="Q78" s="8"/>
      <c r="R78" s="223"/>
      <c r="S78" s="223"/>
      <c r="T78" s="8"/>
      <c r="U78" s="8"/>
      <c r="V78" s="8"/>
      <c r="W78" s="8"/>
      <c r="X78" s="8"/>
      <c r="Y78" s="8"/>
      <c r="AC78" s="8"/>
      <c r="AD78" s="8"/>
      <c r="AE78" s="8"/>
      <c r="AF78" s="8"/>
      <c r="AG78" s="8"/>
      <c r="AH78" s="8"/>
    </row>
    <row r="79" spans="1:37" x14ac:dyDescent="0.2">
      <c r="A79" s="259" t="s">
        <v>123</v>
      </c>
      <c r="B79" s="8"/>
      <c r="C79" s="226">
        <v>2750</v>
      </c>
      <c r="D79" s="8"/>
      <c r="E79" s="223"/>
      <c r="F79" s="223"/>
      <c r="G79" s="223"/>
      <c r="H79" s="223"/>
      <c r="I79" s="223"/>
      <c r="J79" s="8"/>
      <c r="K79" s="8"/>
      <c r="L79" s="8"/>
      <c r="M79" s="8"/>
      <c r="N79" s="8"/>
      <c r="O79" s="8"/>
      <c r="P79" s="8"/>
      <c r="Q79" s="8"/>
      <c r="R79" s="223"/>
      <c r="S79" s="223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37" x14ac:dyDescent="0.2">
      <c r="A80" s="258" t="s">
        <v>124</v>
      </c>
      <c r="B80" s="8"/>
      <c r="C80" s="226">
        <v>500</v>
      </c>
      <c r="D80" s="8"/>
      <c r="E80" s="223"/>
      <c r="F80" s="223"/>
      <c r="G80" s="223"/>
      <c r="H80" s="223"/>
      <c r="I80" s="223"/>
      <c r="J80" s="8"/>
      <c r="K80" s="8"/>
      <c r="L80" s="8"/>
      <c r="M80" s="8"/>
      <c r="N80" s="8"/>
      <c r="O80" s="8"/>
      <c r="P80" s="8"/>
      <c r="Q80" s="8"/>
      <c r="R80" s="223"/>
      <c r="S80" s="223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</row>
    <row r="81" spans="1:34" x14ac:dyDescent="0.2">
      <c r="A81" s="258" t="s">
        <v>125</v>
      </c>
      <c r="B81" s="8"/>
      <c r="C81" s="226">
        <v>2500</v>
      </c>
      <c r="D81" s="8"/>
      <c r="E81" s="223"/>
      <c r="F81" s="223"/>
      <c r="G81" s="223"/>
      <c r="H81" s="223"/>
      <c r="I81" s="223"/>
      <c r="J81" s="8"/>
      <c r="K81" s="8"/>
      <c r="L81" s="8"/>
      <c r="M81" s="8"/>
      <c r="N81" s="8"/>
      <c r="O81" s="8"/>
      <c r="P81" s="8"/>
      <c r="Q81" s="8"/>
      <c r="R81" s="223"/>
      <c r="S81" s="223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</row>
    <row r="82" spans="1:34" ht="13.5" thickBot="1" x14ac:dyDescent="0.25">
      <c r="A82" s="258" t="s">
        <v>126</v>
      </c>
      <c r="B82" s="8"/>
      <c r="C82" s="260">
        <f>SUM(C78:C81)</f>
        <v>13250</v>
      </c>
      <c r="D82" s="8"/>
      <c r="E82" s="223"/>
      <c r="F82" s="223"/>
      <c r="G82" s="223"/>
      <c r="H82" s="223"/>
      <c r="I82" s="223"/>
      <c r="J82" s="8"/>
      <c r="K82" s="8"/>
      <c r="L82" s="8"/>
      <c r="M82" s="8"/>
      <c r="N82" s="8"/>
      <c r="O82" s="8"/>
      <c r="P82" s="8"/>
      <c r="Q82" s="8"/>
      <c r="R82" s="223"/>
      <c r="S82" s="223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</row>
    <row r="83" spans="1:34" ht="13.5" thickTop="1" x14ac:dyDescent="0.2">
      <c r="A83" s="258"/>
      <c r="B83" s="8"/>
      <c r="C83" s="256"/>
      <c r="D83" s="8"/>
      <c r="E83" s="223"/>
      <c r="F83" s="223"/>
      <c r="G83" s="223"/>
      <c r="H83" s="223"/>
      <c r="I83" s="223"/>
      <c r="J83" s="8"/>
      <c r="K83" s="8"/>
      <c r="L83" s="8"/>
      <c r="M83" s="8"/>
      <c r="N83" s="8"/>
      <c r="O83" s="8"/>
      <c r="P83" s="8"/>
      <c r="Q83" s="8"/>
      <c r="R83" s="223"/>
      <c r="S83" s="223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</row>
    <row r="84" spans="1:34" x14ac:dyDescent="0.2">
      <c r="A84" s="258" t="s">
        <v>127</v>
      </c>
      <c r="B84" s="8"/>
      <c r="C84" s="256">
        <v>7500</v>
      </c>
      <c r="D84" s="226"/>
      <c r="E84" s="223"/>
      <c r="F84" s="223"/>
      <c r="G84" s="223"/>
      <c r="H84" s="223"/>
      <c r="I84" s="223"/>
      <c r="J84" s="8"/>
      <c r="K84" s="8"/>
      <c r="L84" s="8"/>
      <c r="M84" s="8"/>
      <c r="N84" s="8"/>
      <c r="O84" s="8"/>
      <c r="P84" s="8"/>
      <c r="Q84" s="8"/>
      <c r="R84" s="223"/>
      <c r="S84" s="223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</row>
    <row r="85" spans="1:34" x14ac:dyDescent="0.2">
      <c r="A85" s="258" t="s">
        <v>124</v>
      </c>
      <c r="B85" s="8"/>
      <c r="C85" s="256">
        <v>1250</v>
      </c>
      <c r="D85" s="226">
        <v>750</v>
      </c>
      <c r="E85" s="223"/>
      <c r="F85" s="223"/>
      <c r="G85" s="223"/>
      <c r="H85" s="223"/>
      <c r="I85" s="223"/>
      <c r="J85" s="8"/>
      <c r="K85" s="8"/>
      <c r="L85" s="8"/>
      <c r="M85" s="8"/>
      <c r="N85" s="8"/>
      <c r="O85" s="8"/>
      <c r="P85" s="8"/>
      <c r="Q85" s="8"/>
      <c r="R85" s="223"/>
      <c r="S85" s="223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</row>
    <row r="86" spans="1:34" x14ac:dyDescent="0.2">
      <c r="A86" s="259" t="s">
        <v>128</v>
      </c>
      <c r="B86" s="8"/>
      <c r="C86" s="256"/>
      <c r="D86" s="226">
        <v>2500</v>
      </c>
      <c r="E86" s="8" t="s">
        <v>129</v>
      </c>
      <c r="F86" s="223"/>
      <c r="G86" s="223"/>
      <c r="H86" s="223"/>
      <c r="I86" s="223"/>
      <c r="J86" s="8"/>
      <c r="K86" s="8"/>
      <c r="L86" s="8"/>
      <c r="M86" s="8"/>
      <c r="N86" s="8"/>
      <c r="O86" s="8"/>
      <c r="P86" s="8"/>
      <c r="Q86" s="8"/>
      <c r="R86" s="223"/>
      <c r="S86" s="223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1:34" x14ac:dyDescent="0.2">
      <c r="A87" s="258" t="s">
        <v>130</v>
      </c>
      <c r="B87" s="8"/>
      <c r="C87" s="256">
        <v>7000</v>
      </c>
      <c r="D87" s="226">
        <v>2300</v>
      </c>
      <c r="E87" s="223"/>
      <c r="F87" s="223"/>
      <c r="G87" s="223"/>
      <c r="H87" s="223"/>
      <c r="I87" s="223"/>
      <c r="J87" s="8"/>
      <c r="K87" s="8"/>
      <c r="L87" s="8"/>
      <c r="M87" s="8"/>
      <c r="N87" s="8"/>
      <c r="O87" s="8"/>
      <c r="P87" s="8"/>
      <c r="Q87" s="8"/>
      <c r="R87" s="223"/>
      <c r="S87" s="223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</row>
    <row r="88" spans="1:34" ht="13.5" thickBot="1" x14ac:dyDescent="0.25">
      <c r="A88" s="258" t="s">
        <v>131</v>
      </c>
      <c r="B88" s="8"/>
      <c r="C88" s="260">
        <f>SUM(C84:C87)</f>
        <v>15750</v>
      </c>
      <c r="D88" s="261">
        <f>SUM(D85:D87)</f>
        <v>5550</v>
      </c>
      <c r="E88" s="223"/>
      <c r="F88" s="223"/>
      <c r="G88" s="223"/>
      <c r="H88" s="223"/>
      <c r="I88" s="223"/>
      <c r="J88" s="8"/>
      <c r="K88" s="8"/>
      <c r="L88" s="8"/>
      <c r="M88" s="8"/>
      <c r="N88" s="8"/>
      <c r="O88" s="8"/>
      <c r="P88" s="8"/>
      <c r="Q88" s="8"/>
      <c r="R88" s="223"/>
      <c r="S88" s="223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1:34" ht="13.5" thickTop="1" x14ac:dyDescent="0.2">
      <c r="A89" s="262"/>
      <c r="B89" s="8"/>
      <c r="C89" s="8"/>
      <c r="D89" s="8"/>
      <c r="E89" s="8"/>
      <c r="F89" s="8"/>
      <c r="G89" s="8"/>
      <c r="H89" s="8"/>
      <c r="I89" s="8"/>
      <c r="J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</row>
    <row r="90" spans="1:34" x14ac:dyDescent="0.2">
      <c r="A90" t="s">
        <v>132</v>
      </c>
      <c r="C90" s="8"/>
      <c r="D90" s="226">
        <v>120000</v>
      </c>
      <c r="E90" s="8"/>
      <c r="F90" s="8"/>
      <c r="G90" s="8"/>
      <c r="H90" s="8"/>
      <c r="I90" s="8"/>
      <c r="J90" s="8"/>
      <c r="K90" s="8"/>
      <c r="L90" s="8" t="s">
        <v>133</v>
      </c>
      <c r="M90" s="226">
        <v>12000</v>
      </c>
      <c r="N90" s="8"/>
      <c r="O90" s="8"/>
      <c r="P90" s="8" t="s">
        <v>134</v>
      </c>
      <c r="Q90" s="276">
        <v>0</v>
      </c>
      <c r="R90" s="8"/>
      <c r="S90" s="8"/>
      <c r="T90" s="8"/>
      <c r="U90" s="8"/>
      <c r="V90" s="8"/>
      <c r="Y90" s="8"/>
      <c r="Z90" s="8"/>
      <c r="AA90" s="8"/>
      <c r="AB90" s="8"/>
      <c r="AC90" s="8"/>
      <c r="AD90" s="8"/>
    </row>
    <row r="91" spans="1:34" x14ac:dyDescent="0.2">
      <c r="A91" t="s">
        <v>135</v>
      </c>
      <c r="C91" s="8"/>
      <c r="D91" s="276">
        <v>15000</v>
      </c>
      <c r="E91" s="8"/>
      <c r="F91" s="8"/>
      <c r="G91" s="8"/>
      <c r="H91" s="8"/>
      <c r="I91" s="8"/>
      <c r="J91" s="8"/>
      <c r="K91" s="8"/>
      <c r="L91" s="8" t="s">
        <v>136</v>
      </c>
      <c r="M91" s="226">
        <v>220000</v>
      </c>
      <c r="N91" s="8"/>
      <c r="O91" s="8"/>
      <c r="P91" s="8" t="s">
        <v>137</v>
      </c>
      <c r="Q91" s="226">
        <v>2000</v>
      </c>
      <c r="R91" s="8"/>
      <c r="S91" s="8"/>
      <c r="T91" s="8"/>
      <c r="U91" s="8"/>
      <c r="V91" s="8"/>
      <c r="W91" s="8" t="s">
        <v>138</v>
      </c>
      <c r="X91" s="226">
        <v>25000</v>
      </c>
      <c r="Y91" s="8"/>
      <c r="Z91" s="8"/>
      <c r="AA91" s="8"/>
      <c r="AB91" s="8"/>
      <c r="AC91" s="8"/>
      <c r="AD91" s="8"/>
    </row>
    <row r="92" spans="1:34" ht="13.5" thickBot="1" x14ac:dyDescent="0.25">
      <c r="A92" t="s">
        <v>139</v>
      </c>
      <c r="C92" s="8"/>
      <c r="D92" s="226">
        <v>1500</v>
      </c>
      <c r="E92" s="8"/>
      <c r="F92" s="8"/>
      <c r="G92" s="8"/>
      <c r="H92" s="8"/>
      <c r="I92" s="8"/>
      <c r="J92" s="8"/>
      <c r="K92" s="8"/>
      <c r="L92" s="8" t="s">
        <v>140</v>
      </c>
      <c r="M92" s="226">
        <v>8000</v>
      </c>
      <c r="N92" s="8"/>
      <c r="O92" s="8"/>
      <c r="P92" s="91" t="s">
        <v>141</v>
      </c>
      <c r="Q92" s="263">
        <v>4000</v>
      </c>
      <c r="R92" s="8"/>
      <c r="S92" s="8"/>
      <c r="T92" s="8"/>
      <c r="U92" s="8"/>
      <c r="V92" s="8"/>
      <c r="W92" s="8" t="s">
        <v>142</v>
      </c>
      <c r="X92" s="226">
        <v>0</v>
      </c>
      <c r="Y92" s="8"/>
      <c r="Z92" s="8"/>
      <c r="AA92" s="8"/>
      <c r="AB92" s="8"/>
      <c r="AC92" s="8"/>
      <c r="AD92" s="8"/>
    </row>
    <row r="93" spans="1:34" ht="13.5" thickTop="1" x14ac:dyDescent="0.2">
      <c r="A93" t="s">
        <v>143</v>
      </c>
      <c r="C93" s="8"/>
      <c r="D93" s="226">
        <v>6500</v>
      </c>
      <c r="E93" s="8"/>
      <c r="F93" s="8"/>
      <c r="G93" s="8"/>
      <c r="H93" s="8"/>
      <c r="I93" s="8"/>
      <c r="J93" s="8"/>
      <c r="K93" s="8"/>
      <c r="L93" s="8"/>
      <c r="M93" s="226"/>
      <c r="N93" s="8"/>
      <c r="O93" s="8"/>
      <c r="P93" s="8"/>
      <c r="Q93" s="223">
        <f>SUM(Q90:Q92)</f>
        <v>6000</v>
      </c>
      <c r="R93" s="8"/>
      <c r="S93" s="8"/>
      <c r="T93" s="8"/>
      <c r="U93" s="8"/>
      <c r="V93" s="8"/>
      <c r="W93" s="8" t="s">
        <v>144</v>
      </c>
      <c r="X93" s="226">
        <v>1000</v>
      </c>
      <c r="Y93" s="8"/>
      <c r="Z93" s="8"/>
      <c r="AA93" s="8"/>
      <c r="AB93" s="8"/>
      <c r="AC93" s="8"/>
      <c r="AD93" s="8"/>
    </row>
    <row r="94" spans="1:34" ht="13.5" thickBot="1" x14ac:dyDescent="0.25">
      <c r="A94" t="s">
        <v>145</v>
      </c>
      <c r="C94" s="8"/>
      <c r="D94" s="226">
        <v>9500</v>
      </c>
      <c r="E94" s="8"/>
      <c r="F94" s="8"/>
      <c r="G94" s="8"/>
      <c r="H94" s="8"/>
      <c r="I94" s="8"/>
      <c r="J94" s="8"/>
      <c r="K94" s="8"/>
      <c r="L94" s="8"/>
      <c r="M94" s="261">
        <f>SUM(M90:M93)</f>
        <v>240000</v>
      </c>
      <c r="N94" s="8"/>
      <c r="O94" s="8"/>
      <c r="P94" s="8"/>
      <c r="Q94" s="8"/>
      <c r="R94" s="8"/>
      <c r="S94" s="8"/>
      <c r="T94" s="8"/>
      <c r="U94" s="8"/>
      <c r="V94" s="8"/>
      <c r="X94" s="261">
        <f>SUM(X91:X93)</f>
        <v>26000</v>
      </c>
      <c r="Y94" s="8"/>
      <c r="Z94" s="8"/>
      <c r="AA94" s="8"/>
      <c r="AB94" s="8"/>
      <c r="AC94" s="8"/>
      <c r="AD94" s="8"/>
    </row>
    <row r="95" spans="1:34" ht="13.5" thickTop="1" x14ac:dyDescent="0.2">
      <c r="A95" t="s">
        <v>146</v>
      </c>
      <c r="C95" s="8"/>
      <c r="D95" s="226">
        <v>5000</v>
      </c>
      <c r="E95" s="8"/>
      <c r="F95" s="8"/>
      <c r="G95" s="8"/>
      <c r="H95" s="8"/>
      <c r="I95" s="8"/>
      <c r="J95" s="8"/>
      <c r="K95" s="8"/>
      <c r="L95" s="8"/>
      <c r="M95" s="255"/>
      <c r="N95" s="8"/>
      <c r="O95" s="8"/>
      <c r="P95" s="8"/>
      <c r="Q95" s="8"/>
      <c r="R95" s="8"/>
      <c r="S95" s="8"/>
      <c r="T95" s="8"/>
      <c r="U95" s="8"/>
      <c r="V95" s="8"/>
      <c r="W95" s="8"/>
      <c r="X95" s="226"/>
      <c r="Y95" s="8"/>
      <c r="Z95" s="8"/>
      <c r="AA95" s="8"/>
      <c r="AB95" s="8"/>
      <c r="AC95" s="8"/>
      <c r="AD95" s="8"/>
    </row>
    <row r="96" spans="1:34" x14ac:dyDescent="0.2">
      <c r="A96" t="s">
        <v>147</v>
      </c>
      <c r="C96" s="8"/>
      <c r="D96" s="226">
        <v>24500</v>
      </c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spans="1:30" x14ac:dyDescent="0.2">
      <c r="A97" t="s">
        <v>148</v>
      </c>
      <c r="C97" s="8"/>
      <c r="D97" s="226">
        <v>14000</v>
      </c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</row>
    <row r="98" spans="1:30" x14ac:dyDescent="0.2">
      <c r="A98" t="s">
        <v>94</v>
      </c>
      <c r="C98" s="8"/>
      <c r="D98" s="226">
        <v>1200</v>
      </c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</row>
    <row r="99" spans="1:30" ht="13.5" thickBot="1" x14ac:dyDescent="0.25">
      <c r="C99" s="8"/>
      <c r="D99" s="261">
        <f>SUM(D90:D98)</f>
        <v>197200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</row>
    <row r="100" spans="1:30" ht="13.5" thickTop="1" x14ac:dyDescent="0.2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</row>
    <row r="101" spans="1:30" x14ac:dyDescent="0.2">
      <c r="A101" t="s">
        <v>149</v>
      </c>
      <c r="C101" s="226">
        <v>750</v>
      </c>
      <c r="D101" s="226">
        <v>750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226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x14ac:dyDescent="0.2">
      <c r="A102" t="s">
        <v>150</v>
      </c>
      <c r="C102" s="226">
        <v>500</v>
      </c>
      <c r="D102" s="226">
        <v>750</v>
      </c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226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 spans="1:30" x14ac:dyDescent="0.2">
      <c r="A103" t="s">
        <v>151</v>
      </c>
      <c r="C103" s="226"/>
      <c r="D103" s="226">
        <v>1000</v>
      </c>
      <c r="W103" s="8"/>
      <c r="X103" s="8"/>
    </row>
    <row r="104" spans="1:30" ht="13.5" thickBot="1" x14ac:dyDescent="0.25">
      <c r="C104" s="264">
        <f>SUM(C101:C103)</f>
        <v>1250</v>
      </c>
      <c r="D104" s="264">
        <f>SUM(D101:D103)</f>
        <v>2500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226">
        <v>3000</v>
      </c>
      <c r="S104" s="8"/>
      <c r="T104" s="8"/>
      <c r="U104" s="8"/>
      <c r="V104" s="8"/>
      <c r="W104" s="8"/>
      <c r="Y104" s="8"/>
      <c r="Z104" s="8"/>
      <c r="AA104" s="8"/>
      <c r="AB104" s="8"/>
      <c r="AC104" s="8"/>
      <c r="AD104" s="8"/>
    </row>
    <row r="105" spans="1:30" ht="13.5" thickTop="1" x14ac:dyDescent="0.2">
      <c r="A105" t="s">
        <v>152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226">
        <v>0</v>
      </c>
      <c r="S105" s="8"/>
      <c r="T105" s="8"/>
      <c r="U105" s="8"/>
      <c r="V105" s="8"/>
      <c r="X105" s="8"/>
      <c r="Y105" s="8"/>
      <c r="Z105" s="8"/>
      <c r="AA105" s="8"/>
      <c r="AB105" s="8"/>
      <c r="AC105" s="8"/>
      <c r="AD105" s="8"/>
    </row>
    <row r="106" spans="1:30" x14ac:dyDescent="0.2">
      <c r="A106" t="s">
        <v>153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226">
        <v>1250</v>
      </c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</row>
    <row r="107" spans="1:30" ht="13.5" thickBot="1" x14ac:dyDescent="0.25">
      <c r="A107" t="s">
        <v>154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261">
        <f>SUM(R104:R106)</f>
        <v>4250</v>
      </c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</row>
    <row r="108" spans="1:30" ht="13.5" thickTop="1" x14ac:dyDescent="0.2">
      <c r="C108" s="8"/>
      <c r="D108" s="8"/>
      <c r="W108" s="8"/>
      <c r="X108" s="8"/>
    </row>
    <row r="109" spans="1:30" ht="13.5" thickBot="1" x14ac:dyDescent="0.25"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261">
        <v>42500</v>
      </c>
      <c r="S109" s="8"/>
      <c r="T109" s="8"/>
      <c r="U109" s="8"/>
      <c r="V109" s="8"/>
      <c r="W109" s="8"/>
      <c r="Y109" s="8"/>
      <c r="Z109" s="8"/>
      <c r="AA109" s="8"/>
      <c r="AB109" s="8"/>
      <c r="AC109" s="8"/>
      <c r="AD109" s="8"/>
    </row>
    <row r="110" spans="1:30" ht="13.5" thickTop="1" x14ac:dyDescent="0.2">
      <c r="A110" t="s">
        <v>155</v>
      </c>
      <c r="C110" s="8"/>
      <c r="D110" s="8"/>
      <c r="R110" s="265">
        <f>(R109/500)*0.72*48</f>
        <v>2937.6</v>
      </c>
      <c r="X110" s="8"/>
    </row>
    <row r="111" spans="1:30" x14ac:dyDescent="0.2">
      <c r="A111" t="s">
        <v>156</v>
      </c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55"/>
      <c r="S111" s="8"/>
      <c r="T111" s="8"/>
      <c r="U111" s="8"/>
      <c r="V111" s="8"/>
      <c r="W111" s="8"/>
      <c r="Y111" s="8"/>
      <c r="Z111" s="8"/>
      <c r="AA111" s="8"/>
      <c r="AB111" s="8"/>
      <c r="AC111" s="8"/>
      <c r="AD111" s="8"/>
    </row>
    <row r="112" spans="1:30" x14ac:dyDescent="0.2"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255"/>
      <c r="S112" s="8"/>
      <c r="T112" s="8"/>
      <c r="U112" s="8"/>
      <c r="V112" s="8"/>
      <c r="X112" s="8"/>
      <c r="Y112" s="8"/>
      <c r="Z112" s="8"/>
      <c r="AA112" s="8"/>
      <c r="AB112" s="8"/>
      <c r="AC112" s="8"/>
      <c r="AD112" s="8"/>
    </row>
    <row r="113" spans="1:30" ht="13.5" thickBot="1" x14ac:dyDescent="0.25"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255"/>
      <c r="S113" s="263">
        <v>40000</v>
      </c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</row>
    <row r="114" spans="1:30" ht="13.5" thickTop="1" x14ac:dyDescent="0.2">
      <c r="A114" t="s">
        <v>157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255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spans="1:30" x14ac:dyDescent="0.2"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 spans="1:30" x14ac:dyDescent="0.2">
      <c r="C116" s="8"/>
      <c r="D116" s="226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 spans="1:30" x14ac:dyDescent="0.2">
      <c r="C117" s="8"/>
      <c r="D117" s="226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</row>
    <row r="118" spans="1:30" x14ac:dyDescent="0.2">
      <c r="C118" s="8"/>
      <c r="D118" s="226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</row>
    <row r="119" spans="1:30" x14ac:dyDescent="0.2">
      <c r="C119" s="8"/>
      <c r="D119" s="226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</row>
    <row r="120" spans="1:30" x14ac:dyDescent="0.2">
      <c r="C120" s="8"/>
      <c r="D120" s="8"/>
      <c r="E120" s="226">
        <v>5000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91"/>
      <c r="S120" s="91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 spans="1:30" x14ac:dyDescent="0.2">
      <c r="A121" t="s">
        <v>158</v>
      </c>
      <c r="D121" s="91"/>
      <c r="E121" s="226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91"/>
      <c r="S121" s="91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</row>
    <row r="122" spans="1:30" ht="13.5" thickBot="1" x14ac:dyDescent="0.25">
      <c r="A122" t="s">
        <v>159</v>
      </c>
      <c r="D122" s="91"/>
      <c r="E122" s="261">
        <f>SUM(E120:E121)</f>
        <v>5000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91"/>
      <c r="S122" s="91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</row>
    <row r="123" spans="1:30" ht="13.5" thickTop="1" x14ac:dyDescent="0.2">
      <c r="D123" s="91"/>
      <c r="E123" s="255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91"/>
      <c r="S123" s="91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</row>
    <row r="124" spans="1:30" x14ac:dyDescent="0.2">
      <c r="D124" s="91"/>
      <c r="E124" s="226">
        <v>8500</v>
      </c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91"/>
      <c r="S124" s="91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</row>
    <row r="125" spans="1:30" x14ac:dyDescent="0.2">
      <c r="A125" s="8" t="s">
        <v>160</v>
      </c>
      <c r="B125" s="8"/>
      <c r="D125" s="91"/>
      <c r="E125" s="226">
        <v>71000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91"/>
      <c r="S125" s="91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</row>
    <row r="126" spans="1:30" x14ac:dyDescent="0.2">
      <c r="A126" t="s">
        <v>161</v>
      </c>
      <c r="D126" s="91"/>
      <c r="E126" s="226">
        <v>13600</v>
      </c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91"/>
      <c r="S126" s="91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 spans="1:30" x14ac:dyDescent="0.2">
      <c r="A127" s="8" t="s">
        <v>162</v>
      </c>
      <c r="B127" s="8"/>
      <c r="D127" s="91"/>
      <c r="E127" s="226">
        <v>37000</v>
      </c>
      <c r="R127" s="266"/>
      <c r="S127" s="266"/>
      <c r="W127" s="8"/>
    </row>
    <row r="128" spans="1:30" x14ac:dyDescent="0.2">
      <c r="A128" s="8" t="s">
        <v>163</v>
      </c>
      <c r="D128" s="266"/>
      <c r="E128" s="226">
        <v>57000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91"/>
      <c r="S128" s="91"/>
      <c r="T128" s="8"/>
      <c r="U128" s="8"/>
      <c r="V128" s="8"/>
      <c r="X128" s="8"/>
      <c r="Y128" s="8"/>
      <c r="Z128" s="8"/>
      <c r="AA128" s="8"/>
      <c r="AB128" s="8"/>
      <c r="AC128" s="8"/>
      <c r="AD128" s="8"/>
    </row>
    <row r="129" spans="1:30" x14ac:dyDescent="0.2">
      <c r="A129" s="8" t="s">
        <v>164</v>
      </c>
      <c r="B129" s="8"/>
      <c r="D129" s="91"/>
      <c r="E129" s="226">
        <v>17000</v>
      </c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266"/>
      <c r="S129" s="266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</row>
    <row r="130" spans="1:30" x14ac:dyDescent="0.2">
      <c r="A130" s="8" t="s">
        <v>165</v>
      </c>
      <c r="D130" s="266"/>
      <c r="E130" s="267">
        <f>SUM(E124:E129)</f>
        <v>204100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91"/>
      <c r="S130" s="91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</row>
    <row r="131" spans="1:30" x14ac:dyDescent="0.2">
      <c r="A131" s="8" t="s">
        <v>166</v>
      </c>
      <c r="D131" s="91"/>
      <c r="E131" s="226">
        <f>E130*B132</f>
        <v>10205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91"/>
      <c r="S131" s="91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 spans="1:30" ht="13.5" thickBot="1" x14ac:dyDescent="0.25">
      <c r="A132" s="8" t="s">
        <v>167</v>
      </c>
      <c r="B132">
        <v>0.05</v>
      </c>
      <c r="D132" s="266"/>
      <c r="E132" s="260">
        <f>E130-E131</f>
        <v>193895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91"/>
      <c r="S132" s="91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 spans="1:30" ht="13.5" thickTop="1" x14ac:dyDescent="0.2">
      <c r="A133" s="8" t="s">
        <v>168</v>
      </c>
      <c r="D133" s="91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91"/>
      <c r="S133" s="91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</row>
    <row r="134" spans="1:30" x14ac:dyDescent="0.2">
      <c r="A134" s="8"/>
      <c r="D134" s="91"/>
      <c r="E134" s="226">
        <v>990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91"/>
      <c r="S134" s="91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</row>
    <row r="135" spans="1:30" x14ac:dyDescent="0.2">
      <c r="A135" t="s">
        <v>169</v>
      </c>
      <c r="D135" s="91"/>
      <c r="E135" s="255">
        <v>0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91"/>
      <c r="S135" s="91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</row>
    <row r="136" spans="1:30" ht="13.5" thickBot="1" x14ac:dyDescent="0.25">
      <c r="A136" t="s">
        <v>170</v>
      </c>
      <c r="D136" s="91"/>
      <c r="E136" s="260">
        <f>SUM(E134:E135)</f>
        <v>990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91"/>
      <c r="S136" s="91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</row>
    <row r="137" spans="1:30" ht="13.5" thickTop="1" x14ac:dyDescent="0.2">
      <c r="D137" s="91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91"/>
      <c r="S137" s="91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</row>
    <row r="138" spans="1:30" x14ac:dyDescent="0.2">
      <c r="A138" s="268"/>
      <c r="D138" s="91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91"/>
      <c r="S138" s="91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 spans="1:30" x14ac:dyDescent="0.2">
      <c r="A139" s="269" t="s">
        <v>171</v>
      </c>
      <c r="D139" s="91"/>
      <c r="E139" s="226">
        <v>10370</v>
      </c>
      <c r="F139" s="8"/>
      <c r="G139" s="8"/>
      <c r="H139" s="8"/>
      <c r="I139" s="8"/>
      <c r="J139" s="8"/>
      <c r="K139" s="8"/>
      <c r="L139" s="8"/>
      <c r="M139" s="8"/>
      <c r="N139" s="8"/>
      <c r="O139" s="8"/>
      <c r="R139" s="266"/>
      <c r="S139" s="91"/>
      <c r="W139" s="8"/>
    </row>
    <row r="140" spans="1:30" x14ac:dyDescent="0.2">
      <c r="A140" t="s">
        <v>172</v>
      </c>
      <c r="D140" s="266"/>
      <c r="E140" s="226">
        <v>24395</v>
      </c>
      <c r="F140" s="8"/>
      <c r="G140" s="8"/>
      <c r="R140" s="266"/>
      <c r="S140" s="91"/>
    </row>
    <row r="141" spans="1:30" x14ac:dyDescent="0.2">
      <c r="A141" t="s">
        <v>173</v>
      </c>
      <c r="D141" s="266"/>
      <c r="E141" s="226">
        <v>33725</v>
      </c>
      <c r="F141" s="8"/>
      <c r="G141" s="8"/>
      <c r="R141" s="266"/>
      <c r="S141" s="91"/>
    </row>
    <row r="142" spans="1:30" x14ac:dyDescent="0.2">
      <c r="A142" t="s">
        <v>174</v>
      </c>
      <c r="D142" s="266"/>
      <c r="E142" s="270">
        <v>-675</v>
      </c>
      <c r="F142" s="8"/>
      <c r="G142" s="8"/>
      <c r="R142" s="266"/>
      <c r="S142" s="91"/>
    </row>
    <row r="143" spans="1:30" ht="13.5" thickBot="1" x14ac:dyDescent="0.25">
      <c r="A143" t="s">
        <v>175</v>
      </c>
      <c r="D143" s="266"/>
      <c r="E143" s="260">
        <f>SUM(E139:E142)</f>
        <v>67815</v>
      </c>
      <c r="F143" s="8"/>
      <c r="G143" s="8"/>
      <c r="R143" s="266"/>
      <c r="S143" s="91"/>
    </row>
    <row r="144" spans="1:30" ht="13.5" thickTop="1" x14ac:dyDescent="0.2">
      <c r="D144" s="266"/>
      <c r="E144" s="8"/>
      <c r="F144" s="8"/>
      <c r="G144" s="8"/>
      <c r="R144" s="266"/>
      <c r="S144" s="91"/>
    </row>
    <row r="145" spans="1:19" x14ac:dyDescent="0.2">
      <c r="D145" s="266"/>
      <c r="E145" s="226">
        <v>4000</v>
      </c>
      <c r="F145" s="8"/>
      <c r="G145" s="8"/>
      <c r="R145" s="266"/>
      <c r="S145" s="91"/>
    </row>
    <row r="146" spans="1:19" x14ac:dyDescent="0.2">
      <c r="A146" t="s">
        <v>176</v>
      </c>
      <c r="D146" s="266"/>
      <c r="E146" s="226">
        <v>3850</v>
      </c>
      <c r="F146" s="8"/>
      <c r="G146" s="8"/>
      <c r="R146" s="266"/>
      <c r="S146" s="91"/>
    </row>
    <row r="147" spans="1:19" x14ac:dyDescent="0.2">
      <c r="A147" t="s">
        <v>177</v>
      </c>
      <c r="D147" s="266"/>
      <c r="E147" s="256">
        <v>7800</v>
      </c>
      <c r="F147" s="8"/>
      <c r="G147" s="8"/>
      <c r="S147" s="8"/>
    </row>
    <row r="148" spans="1:19" x14ac:dyDescent="0.2">
      <c r="A148" t="s">
        <v>178</v>
      </c>
      <c r="E148" s="256">
        <v>4200</v>
      </c>
      <c r="F148" s="8"/>
      <c r="G148" s="8"/>
      <c r="S148" s="8"/>
    </row>
    <row r="149" spans="1:19" x14ac:dyDescent="0.2">
      <c r="A149" t="s">
        <v>179</v>
      </c>
      <c r="E149" s="256">
        <v>425</v>
      </c>
      <c r="F149" s="8"/>
      <c r="G149" s="8"/>
      <c r="S149" s="8"/>
    </row>
    <row r="150" spans="1:19" x14ac:dyDescent="0.2">
      <c r="A150" t="s">
        <v>180</v>
      </c>
      <c r="E150" s="256">
        <v>7500</v>
      </c>
      <c r="F150" s="8"/>
      <c r="G150" s="8"/>
      <c r="S150" s="8"/>
    </row>
    <row r="151" spans="1:19" ht="13.5" thickBot="1" x14ac:dyDescent="0.25">
      <c r="A151" t="s">
        <v>181</v>
      </c>
      <c r="E151" s="260">
        <f>SUM(E145:E150)</f>
        <v>27775</v>
      </c>
      <c r="F151" s="8"/>
      <c r="G151" s="8"/>
      <c r="S151" s="8"/>
    </row>
    <row r="152" spans="1:19" ht="13.5" thickTop="1" x14ac:dyDescent="0.2">
      <c r="E152" s="256"/>
      <c r="F152" s="8"/>
      <c r="G152" s="8"/>
      <c r="S152" s="8"/>
    </row>
    <row r="153" spans="1:19" x14ac:dyDescent="0.2">
      <c r="E153" s="8"/>
      <c r="F153" s="8"/>
      <c r="G153" s="8"/>
      <c r="S153" s="271"/>
    </row>
    <row r="154" spans="1:19" x14ac:dyDescent="0.2">
      <c r="A154" t="s">
        <v>182</v>
      </c>
      <c r="D154" s="272">
        <v>750</v>
      </c>
      <c r="E154" s="8"/>
      <c r="F154" s="8"/>
      <c r="G154" s="8"/>
      <c r="S154" s="8"/>
    </row>
    <row r="155" spans="1:19" x14ac:dyDescent="0.2">
      <c r="A155" t="s">
        <v>183</v>
      </c>
      <c r="D155" s="272">
        <v>1250</v>
      </c>
      <c r="S155" s="273"/>
    </row>
    <row r="156" spans="1:19" ht="13.5" thickBot="1" x14ac:dyDescent="0.25">
      <c r="A156" t="s">
        <v>184</v>
      </c>
      <c r="D156" s="274">
        <f>SUM(D154:D155)</f>
        <v>2000</v>
      </c>
    </row>
    <row r="157" spans="1:19" ht="13.5" thickTop="1" x14ac:dyDescent="0.2">
      <c r="M157" s="226"/>
    </row>
    <row r="158" spans="1:19" x14ac:dyDescent="0.2">
      <c r="M158" s="226">
        <v>10000</v>
      </c>
    </row>
    <row r="159" spans="1:19" x14ac:dyDescent="0.2">
      <c r="A159" t="s">
        <v>185</v>
      </c>
      <c r="M159" s="226">
        <v>5000</v>
      </c>
    </row>
    <row r="160" spans="1:19" x14ac:dyDescent="0.2">
      <c r="A160" s="8" t="s">
        <v>186</v>
      </c>
      <c r="B160" s="8"/>
      <c r="M160" s="226">
        <v>120000</v>
      </c>
    </row>
    <row r="161" spans="1:13" x14ac:dyDescent="0.2">
      <c r="A161" t="s">
        <v>187</v>
      </c>
      <c r="M161" s="226">
        <v>1000</v>
      </c>
    </row>
    <row r="162" spans="1:13" ht="13.5" thickBot="1" x14ac:dyDescent="0.25">
      <c r="A162" t="s">
        <v>188</v>
      </c>
      <c r="M162" s="264">
        <f>SUM(M157:M161)</f>
        <v>136000</v>
      </c>
    </row>
    <row r="163" spans="1:13" ht="13.5" thickTop="1" x14ac:dyDescent="0.2">
      <c r="A163" t="s">
        <v>189</v>
      </c>
    </row>
  </sheetData>
  <sheetProtection formatCells="0" insertColumns="0" insertRows="0" deleteColumns="0" deleteRows="0"/>
  <pageMargins left="0.3" right="0.17" top="0.55000000000000004" bottom="0.16" header="0.17" footer="0.17"/>
  <pageSetup scale="74" fitToWidth="0" orientation="landscape" r:id="rId1"/>
  <headerFooter>
    <oddHeader>&amp;C&amp;"Verdana,Bold"&amp;12Kiwanis Cal-Nev-Ha Foundation
Budget 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2018-2019 Rev1</vt:lpstr>
      <vt:lpstr>'2018-2019 Rev1'!Print_Area</vt:lpstr>
      <vt:lpstr>'2018-2019 Rev1'!Print_Titles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Horton</dc:creator>
  <cp:lastModifiedBy>Pete Horton</cp:lastModifiedBy>
  <dcterms:created xsi:type="dcterms:W3CDTF">2018-12-28T01:45:25Z</dcterms:created>
  <dcterms:modified xsi:type="dcterms:W3CDTF">2019-01-10T16:49:52Z</dcterms:modified>
</cp:coreProperties>
</file>